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Smirnov\Desktop\"/>
    </mc:Choice>
  </mc:AlternateContent>
  <xr:revisionPtr revIDLastSave="0" documentId="8_{D6EE20BC-B0A7-4EB9-8ABA-30643DC1AD33}" xr6:coauthVersionLast="45" xr6:coauthVersionMax="45" xr10:uidLastSave="{00000000-0000-0000-0000-000000000000}"/>
  <bookViews>
    <workbookView xWindow="-120" yWindow="-120" windowWidth="29040" windowHeight="15840" tabRatio="792" activeTab="3" xr2:uid="{00000000-000D-0000-FFFF-FFFF00000000}"/>
  </bookViews>
  <sheets>
    <sheet name="Приложение №2 кап.рем" sheetId="5" r:id="rId1"/>
    <sheet name="Приложение №3 Освещение" sheetId="40" r:id="rId2"/>
    <sheet name="Приложение №4 дороги (проч)" sheetId="53" r:id="rId3"/>
    <sheet name="Приложение №5 дороги (рег п)" sheetId="54" r:id="rId4"/>
    <sheet name="Приложение №6 мосты" sheetId="51" r:id="rId5"/>
    <sheet name="Приложение №7 содержание" sheetId="56" r:id="rId6"/>
    <sheet name="Свод" sheetId="10" state="hidden" r:id="rId7"/>
  </sheets>
  <externalReferences>
    <externalReference r:id="rId8"/>
  </externalReferences>
  <definedNames>
    <definedName name="_Hlk474837869" localSheetId="0">'Приложение №2 кап.рем'!#REF!</definedName>
    <definedName name="_Hlk474837869" localSheetId="2">'Приложение №4 дороги (проч)'!#REF!</definedName>
    <definedName name="_Hlk474837869" localSheetId="3">'Приложение №5 дороги (рег п)'!#REF!</definedName>
    <definedName name="_Hlk474837869" localSheetId="4">'Приложение №6 мосты'!#REF!</definedName>
    <definedName name="_Hlk474840796" localSheetId="0">'Приложение №2 кап.рем'!#REF!</definedName>
    <definedName name="_Hlk474840796" localSheetId="2">'Приложение №4 дороги (проч)'!#REF!</definedName>
    <definedName name="_Hlk474840796" localSheetId="3">'Приложение №5 дороги (рег п)'!#REF!</definedName>
    <definedName name="_Hlk474840796" localSheetId="4">'Приложение №6 мосты'!#REF!</definedName>
    <definedName name="_Hlk474841476" localSheetId="0">'Приложение №2 кап.рем'!#REF!</definedName>
    <definedName name="_Hlk474841476" localSheetId="2">'Приложение №4 дороги (проч)'!#REF!</definedName>
    <definedName name="_Hlk474841476" localSheetId="3">'Приложение №5 дороги (рег п)'!#REF!</definedName>
    <definedName name="_Hlk474841476" localSheetId="4">'Приложение №6 мосты'!#REF!</definedName>
    <definedName name="_Hlk474841839" localSheetId="0">'Приложение №2 кап.рем'!#REF!</definedName>
    <definedName name="_Hlk474841839" localSheetId="2">'Приложение №4 дороги (проч)'!#REF!</definedName>
    <definedName name="_Hlk474841839" localSheetId="3">'Приложение №5 дороги (рег п)'!#REF!</definedName>
    <definedName name="_Hlk474841839" localSheetId="4">'Приложение №6 мосты'!#REF!</definedName>
    <definedName name="_Hlk474842342" localSheetId="0">'Приложение №2 кап.рем'!#REF!</definedName>
    <definedName name="_Hlk474842342" localSheetId="2">'Приложение №4 дороги (проч)'!#REF!</definedName>
    <definedName name="_Hlk474842342" localSheetId="3">'Приложение №5 дороги (рег п)'!#REF!</definedName>
    <definedName name="_Hlk474842342" localSheetId="4">'Приложение №6 мосты'!#REF!</definedName>
    <definedName name="_Hlk474842479" localSheetId="0">'Приложение №2 кап.рем'!#REF!</definedName>
    <definedName name="_Hlk474842479" localSheetId="2">'Приложение №4 дороги (проч)'!#REF!</definedName>
    <definedName name="_Hlk474842479" localSheetId="3">'Приложение №5 дороги (рег п)'!#REF!</definedName>
    <definedName name="_Hlk474842479" localSheetId="4">'Приложение №6 мосты'!#REF!</definedName>
    <definedName name="_Hlk499220623" localSheetId="0">'Приложение №2 кап.рем'!#REF!</definedName>
    <definedName name="_Hlk499220623" localSheetId="2">'Приложение №4 дороги (проч)'!#REF!</definedName>
    <definedName name="_Hlk499220623" localSheetId="3">'Приложение №5 дороги (рег п)'!$A$14</definedName>
    <definedName name="_Hlk499220623" localSheetId="4">'Приложение №6 мосты'!#REF!</definedName>
    <definedName name="OLE_LINK117" localSheetId="2">'Приложение №4 дороги (проч)'!#REF!</definedName>
    <definedName name="OLE_LINK117" localSheetId="3">'Приложение №5 дороги (рег п)'!#REF!</definedName>
    <definedName name="OLE_LINK118" localSheetId="2">'Приложение №4 дороги (проч)'!#REF!</definedName>
    <definedName name="OLE_LINK118" localSheetId="3">'Приложение №5 дороги (рег п)'!#REF!</definedName>
    <definedName name="OLE_LINK123" localSheetId="0">'Приложение №2 кап.рем'!#REF!</definedName>
    <definedName name="OLE_LINK123" localSheetId="2">'Приложение №4 дороги (проч)'!#REF!</definedName>
    <definedName name="OLE_LINK123" localSheetId="3">'Приложение №5 дороги (рег п)'!#REF!</definedName>
    <definedName name="OLE_LINK123" localSheetId="4">'Приложение №6 мосты'!#REF!</definedName>
    <definedName name="OLE_LINK20" localSheetId="0">'Приложение №2 кап.рем'!#REF!</definedName>
    <definedName name="OLE_LINK20" localSheetId="2">'Приложение №4 дороги (проч)'!$A$9</definedName>
    <definedName name="OLE_LINK20" localSheetId="3">'Приложение №5 дороги (рег п)'!#REF!</definedName>
    <definedName name="OLE_LINK20" localSheetId="4">'Приложение №6 мосты'!#REF!</definedName>
    <definedName name="OLE_LINK22" localSheetId="0">'Приложение №2 кап.рем'!#REF!</definedName>
    <definedName name="OLE_LINK22" localSheetId="2">'Приложение №4 дороги (проч)'!#REF!</definedName>
    <definedName name="OLE_LINK22" localSheetId="3">'Приложение №5 дороги (рег п)'!#REF!</definedName>
    <definedName name="OLE_LINK22" localSheetId="4">'Приложение №6 мосты'!#REF!</definedName>
    <definedName name="OLE_LINK54" localSheetId="0">'Приложение №2 кап.рем'!#REF!</definedName>
    <definedName name="OLE_LINK54" localSheetId="2">'Приложение №4 дороги (проч)'!#REF!</definedName>
    <definedName name="OLE_LINK54" localSheetId="3">'Приложение №5 дороги (рег п)'!$A$13</definedName>
    <definedName name="OLE_LINK54" localSheetId="4">'Приложение №6 мосты'!#REF!</definedName>
    <definedName name="OLE_LINK97" localSheetId="0">'Приложение №2 кап.рем'!#REF!</definedName>
    <definedName name="OLE_LINK97" localSheetId="2">'Приложение №4 дороги (проч)'!#REF!</definedName>
    <definedName name="OLE_LINK97" localSheetId="3">'Приложение №5 дороги (рег п)'!#REF!</definedName>
    <definedName name="OLE_LINK97" localSheetId="4">'Приложение №6 мосты'!#REF!</definedName>
    <definedName name="_xlnm.Print_Area" localSheetId="1">'Приложение №3 Освещение'!$A$1:$I$74</definedName>
    <definedName name="_xlnm.Print_Area" localSheetId="2">'Приложение №4 дороги (проч)'!$A$1:$G$48</definedName>
    <definedName name="_xlnm.Print_Area" localSheetId="3">'Приложение №5 дороги (рег п)'!$A$1:$I$44</definedName>
    <definedName name="_xlnm.Print_Area" localSheetId="4">'Приложение №6 мосты'!$A$1:$F$13</definedName>
    <definedName name="_xlnm.Print_Area" localSheetId="5">'Приложение №7 содержание'!$A$1:$B$29</definedName>
  </definedName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56" l="1"/>
  <c r="B26" i="56"/>
  <c r="B23" i="56"/>
  <c r="B21" i="56"/>
  <c r="B20" i="56"/>
  <c r="B18" i="56"/>
  <c r="B16" i="56"/>
  <c r="B12" i="56"/>
  <c r="B11" i="56"/>
  <c r="B8" i="56"/>
  <c r="B7" i="56"/>
  <c r="B29" i="56" l="1"/>
  <c r="C38" i="54"/>
  <c r="G38" i="54" s="1"/>
  <c r="C35" i="54"/>
  <c r="G35" i="54" s="1"/>
  <c r="C32" i="54"/>
  <c r="G32" i="54" s="1"/>
  <c r="C29" i="54"/>
  <c r="G29" i="54" s="1"/>
  <c r="C26" i="54"/>
  <c r="G26" i="54" s="1"/>
  <c r="C25" i="54"/>
  <c r="G25" i="54" s="1"/>
  <c r="C22" i="54"/>
  <c r="G22" i="54" s="1"/>
  <c r="C20" i="54"/>
  <c r="G19" i="54"/>
  <c r="C16" i="54"/>
  <c r="G16" i="54" s="1"/>
  <c r="C13" i="54"/>
  <c r="G13" i="54" s="1"/>
  <c r="C10" i="54"/>
  <c r="G10" i="54" s="1"/>
  <c r="G61" i="53"/>
  <c r="G59" i="53"/>
  <c r="C59" i="53"/>
  <c r="G57" i="53"/>
  <c r="C57" i="53"/>
  <c r="C61" i="53" s="1"/>
  <c r="G54" i="53"/>
  <c r="C54" i="53"/>
  <c r="G46" i="53"/>
  <c r="G45" i="53"/>
  <c r="G58" i="53" s="1"/>
  <c r="G64" i="53" s="1"/>
  <c r="G43" i="53"/>
  <c r="C43" i="53"/>
  <c r="G40" i="53"/>
  <c r="C38" i="53"/>
  <c r="C40" i="53" s="1"/>
  <c r="G36" i="53"/>
  <c r="C35" i="53"/>
  <c r="C36" i="53" s="1"/>
  <c r="G33" i="53"/>
  <c r="C33" i="53"/>
  <c r="C31" i="53"/>
  <c r="G29" i="53"/>
  <c r="C28" i="53"/>
  <c r="C27" i="53"/>
  <c r="G25" i="53"/>
  <c r="C24" i="53"/>
  <c r="C25" i="53" s="1"/>
  <c r="C23" i="53"/>
  <c r="G21" i="53"/>
  <c r="C20" i="53"/>
  <c r="C21" i="53" s="1"/>
  <c r="G18" i="53"/>
  <c r="C17" i="53"/>
  <c r="C18" i="53" s="1"/>
  <c r="G15" i="53"/>
  <c r="C15" i="53"/>
  <c r="G12" i="53"/>
  <c r="C11" i="53"/>
  <c r="G44" i="53" l="1"/>
  <c r="G50" i="53" s="1"/>
  <c r="C46" i="53"/>
  <c r="C29" i="53"/>
  <c r="H16" i="54"/>
  <c r="H17" i="54" s="1"/>
  <c r="G17" i="54"/>
  <c r="H25" i="54"/>
  <c r="H27" i="54" s="1"/>
  <c r="G27" i="54"/>
  <c r="H35" i="54"/>
  <c r="H36" i="54" s="1"/>
  <c r="G36" i="54"/>
  <c r="I19" i="54"/>
  <c r="H26" i="54"/>
  <c r="I26" i="54" s="1"/>
  <c r="H38" i="54"/>
  <c r="H39" i="54" s="1"/>
  <c r="G39" i="54"/>
  <c r="H10" i="54"/>
  <c r="G11" i="54"/>
  <c r="G41" i="54"/>
  <c r="H29" i="54"/>
  <c r="H30" i="54" s="1"/>
  <c r="G30" i="54"/>
  <c r="H13" i="54"/>
  <c r="H14" i="54" s="1"/>
  <c r="G14" i="54"/>
  <c r="I22" i="54"/>
  <c r="I23" i="54" s="1"/>
  <c r="H22" i="54"/>
  <c r="H23" i="54" s="1"/>
  <c r="G23" i="54"/>
  <c r="H32" i="54"/>
  <c r="H33" i="54" s="1"/>
  <c r="G33" i="54"/>
  <c r="C23" i="54"/>
  <c r="C27" i="54"/>
  <c r="C30" i="54"/>
  <c r="C33" i="54"/>
  <c r="C36" i="54"/>
  <c r="C39" i="54"/>
  <c r="C41" i="54"/>
  <c r="C42" i="54"/>
  <c r="C11" i="54"/>
  <c r="C14" i="54"/>
  <c r="C17" i="54"/>
  <c r="G20" i="54"/>
  <c r="G42" i="54"/>
  <c r="H19" i="54"/>
  <c r="G60" i="53"/>
  <c r="C45" i="53"/>
  <c r="C58" i="53" s="1"/>
  <c r="C12" i="53"/>
  <c r="C44" i="53" s="1"/>
  <c r="C60" i="53" s="1"/>
  <c r="I13" i="54" l="1"/>
  <c r="I14" i="54" s="1"/>
  <c r="I20" i="54"/>
  <c r="H42" i="54"/>
  <c r="H20" i="54"/>
  <c r="I32" i="54"/>
  <c r="I33" i="54" s="1"/>
  <c r="G40" i="54"/>
  <c r="G44" i="54" s="1"/>
  <c r="I38" i="54"/>
  <c r="I39" i="54" s="1"/>
  <c r="C40" i="54"/>
  <c r="C44" i="54" s="1"/>
  <c r="I29" i="54"/>
  <c r="I30" i="54" s="1"/>
  <c r="H11" i="54"/>
  <c r="H40" i="54" s="1"/>
  <c r="H41" i="54"/>
  <c r="I25" i="54"/>
  <c r="I27" i="54" s="1"/>
  <c r="I10" i="54"/>
  <c r="I35" i="54"/>
  <c r="I36" i="54" s="1"/>
  <c r="I16" i="54"/>
  <c r="I17" i="54" s="1"/>
  <c r="C12" i="51"/>
  <c r="C13" i="51" s="1"/>
  <c r="F13" i="51"/>
  <c r="F12" i="51"/>
  <c r="I41" i="54" l="1"/>
  <c r="I11" i="54"/>
  <c r="I40" i="54" s="1"/>
  <c r="I42" i="54"/>
  <c r="F73" i="40"/>
  <c r="C73" i="40"/>
  <c r="F70" i="40"/>
  <c r="C70" i="40"/>
  <c r="F62" i="40"/>
  <c r="C62" i="40"/>
  <c r="F59" i="40"/>
  <c r="C59" i="40"/>
  <c r="F54" i="40"/>
  <c r="C54" i="40"/>
  <c r="F47" i="40"/>
  <c r="C47" i="40"/>
  <c r="F44" i="40"/>
  <c r="C44" i="40"/>
  <c r="F38" i="40"/>
  <c r="C38" i="40"/>
  <c r="F33" i="40"/>
  <c r="C33" i="40"/>
  <c r="C20" i="40"/>
  <c r="F20" i="40"/>
  <c r="F25" i="40"/>
  <c r="C25" i="40"/>
  <c r="F15" i="40"/>
  <c r="C15" i="40"/>
  <c r="F12" i="40"/>
  <c r="F74" i="40" s="1"/>
  <c r="C12" i="40"/>
  <c r="C74" i="40" s="1"/>
  <c r="F11" i="5" l="1"/>
  <c r="C11" i="5" l="1"/>
  <c r="F12" i="5"/>
  <c r="C12" i="5" l="1"/>
  <c r="C27" i="10" l="1"/>
  <c r="C24" i="10"/>
  <c r="B24" i="10"/>
  <c r="B23" i="10"/>
  <c r="C22" i="10"/>
  <c r="B22" i="10"/>
  <c r="B27" i="10" s="1"/>
  <c r="C7" i="10"/>
  <c r="C23" i="10" s="1"/>
  <c r="B7" i="10"/>
  <c r="D27" i="10" l="1"/>
  <c r="C21" i="10"/>
</calcChain>
</file>

<file path=xl/sharedStrings.xml><?xml version="1.0" encoding="utf-8"?>
<sst xmlns="http://schemas.openxmlformats.org/spreadsheetml/2006/main" count="440" uniqueCount="186">
  <si>
    <t>№ п/п</t>
  </si>
  <si>
    <t>Наименование объекта</t>
  </si>
  <si>
    <t>Мощность, км</t>
  </si>
  <si>
    <t>Сроки выполнения работ</t>
  </si>
  <si>
    <t>начало</t>
  </si>
  <si>
    <t>окончание</t>
  </si>
  <si>
    <t>Арсеньевский район</t>
  </si>
  <si>
    <t>апрель</t>
  </si>
  <si>
    <t>октябрь</t>
  </si>
  <si>
    <t>Итого по району:</t>
  </si>
  <si>
    <t>Богородицкий район</t>
  </si>
  <si>
    <t>Веневский район</t>
  </si>
  <si>
    <t>Воловский район</t>
  </si>
  <si>
    <t>Дубенский район</t>
  </si>
  <si>
    <t>Каменский район</t>
  </si>
  <si>
    <t>декабрь</t>
  </si>
  <si>
    <t>Суворовский район</t>
  </si>
  <si>
    <t>Узловский район</t>
  </si>
  <si>
    <t>Чернский район</t>
  </si>
  <si>
    <t>Ясногорский район</t>
  </si>
  <si>
    <t>Белевский район</t>
  </si>
  <si>
    <t>Одоевский район</t>
  </si>
  <si>
    <t>Плавский район</t>
  </si>
  <si>
    <t>Щекинский район</t>
  </si>
  <si>
    <t>Приложение 2</t>
  </si>
  <si>
    <t>Приложение 5</t>
  </si>
  <si>
    <t>Киреевский район</t>
  </si>
  <si>
    <t>Мощность, пог. м</t>
  </si>
  <si>
    <t>Мероприятие «Увеличение доли автомобильных дорог общего пользования регионального или межмуниципального значения, отвечающих нормативным требованиям, и обеспечение их устойчивого функционирования»</t>
  </si>
  <si>
    <t>ВСЕГО ПО РЕМОНТУ АВТОДОРОГ:</t>
  </si>
  <si>
    <t>Приложение 4</t>
  </si>
  <si>
    <t>финансирование осуществляется за счет средств бюджета Тульской области</t>
  </si>
  <si>
    <t>Содержание автомобильных дорог общего пользования регионального или межмуниципального значения и искусственных сооружений на них</t>
  </si>
  <si>
    <t>ИТОГО</t>
  </si>
  <si>
    <t>Приложение 6</t>
  </si>
  <si>
    <t>Капитальный ремонт участка автомобильной дороги II технической категории Тула-Новомосковск в части устройства пешеходного перехода на км 6+390 (в районе кладбища) в МО город Тула</t>
  </si>
  <si>
    <t>Перечень автомобильных дорог общего пользования регионального или межмуниципального значения, подлежащих ремонту в 2020 году (по мероприятию «Увеличение доли автомобильных дорог общего пользования регионального или межмуниципального значения, отвечающих нормативным требованиям, и обеспечение их устойчивого функционирования»)</t>
  </si>
  <si>
    <t>ИТОГО по ремонту искусственных сооружений</t>
  </si>
  <si>
    <t>Перечень искусственных сооружений на автомобильных дорогах общего пользования регионального или межмуниципального зачения, подлежащих ремонту в 2020 году (по мероприятию «Увеличение доли автомобильных дорог общего пользования регионального или межмуниципального значения, отвечающих нормативным требованиям, и обеспечение их устойчивого функционирования»)</t>
  </si>
  <si>
    <t>173,54 пог.м</t>
  </si>
  <si>
    <t>Перечень автомобильных дорог общего пользования регионального или межмуниципального значения, подлежащих ремонту в 2020 году (по региональному проекту «Дорожная сеть»)</t>
  </si>
  <si>
    <t>Устройство недостающего электроосвещения на автомобильных дорогах общего пользования регионального значения в 2020 году</t>
  </si>
  <si>
    <t>Наименование показателя</t>
  </si>
  <si>
    <t>Стоимость тыс,руб.</t>
  </si>
  <si>
    <t>Перечень автомобильных дорог общего пользования регионального или межмуниципального значения, 
подлежащих капитальному ремонту в 2020 году, в том числе:</t>
  </si>
  <si>
    <t>ремонт</t>
  </si>
  <si>
    <t>капитальный ремонт</t>
  </si>
  <si>
    <t>Налоги</t>
  </si>
  <si>
    <t>содержание</t>
  </si>
  <si>
    <t>налоги</t>
  </si>
  <si>
    <t>Категория дороги</t>
  </si>
  <si>
    <t>Категория а/д</t>
  </si>
  <si>
    <t>IV</t>
  </si>
  <si>
    <t>III</t>
  </si>
  <si>
    <t>V</t>
  </si>
  <si>
    <t>ИТОГО по ремонту автодорог, том числе:</t>
  </si>
  <si>
    <t>IV категория</t>
  </si>
  <si>
    <t>V категория</t>
  </si>
  <si>
    <t>ИТОГО по ремонту автодорог, в том числе:</t>
  </si>
  <si>
    <t>сентябрь</t>
  </si>
  <si>
    <t>III категория</t>
  </si>
  <si>
    <t>Итого по капитальному ремонту</t>
  </si>
  <si>
    <t>ноябрь</t>
  </si>
  <si>
    <t>IV - 2,98 км</t>
  </si>
  <si>
    <t>V - 3,4 км</t>
  </si>
  <si>
    <t>Наименование района</t>
  </si>
  <si>
    <t>Заокский район</t>
  </si>
  <si>
    <t>Кимовский район</t>
  </si>
  <si>
    <t>Куркинский район</t>
  </si>
  <si>
    <t>Тепло-Огаревский район</t>
  </si>
  <si>
    <t>Протяженность, км</t>
  </si>
  <si>
    <t>ИТОГО по освещению</t>
  </si>
  <si>
    <t>Приложение 3</t>
  </si>
  <si>
    <t>Ремонт участка автомобильной дороги «Спицино - Иваньково - Есуково» - автоподъезд к населенному пункту Григорьевское км 0+000 - км 3+400 в Ясногорском районе</t>
  </si>
  <si>
    <t>Ремонт участков автомобильной дороги Автоподъезд к населенному пункту Лужны от автодороги «Чернь - Медведки» - Ержино км 0+000 - км 0+180, км 2+800 - км 5+600 в Чернском районе</t>
  </si>
  <si>
    <t>Алексинский район</t>
  </si>
  <si>
    <t>Ефремовский район</t>
  </si>
  <si>
    <t>Новомосковский район</t>
  </si>
  <si>
    <t>финансирование осуществляется за счет средств бюджета Тульской области, если не указано иное</t>
  </si>
  <si>
    <t>Приложение 7</t>
  </si>
  <si>
    <t>Ленинский район</t>
  </si>
  <si>
    <t xml:space="preserve">Ленинский район </t>
  </si>
  <si>
    <t>Стоимость, рублей</t>
  </si>
  <si>
    <t xml:space="preserve">в том числе из федерального бюджета </t>
  </si>
  <si>
    <t>Стоимость,
рублей</t>
  </si>
  <si>
    <t>Всего</t>
  </si>
  <si>
    <t>в том числе из  бюджета 
Тульской области</t>
  </si>
  <si>
    <t>Содержание по району ВСЕГО, рублей</t>
  </si>
  <si>
    <t>III - 16,559 км</t>
  </si>
  <si>
    <t>IV - 4,200 км</t>
  </si>
  <si>
    <t>МО г. Новомосковск</t>
  </si>
  <si>
    <t>Перечень автомобильных дорог общего пользования регионального или межмуниципального значения, 
подлежащих капитальному ремонту в 2024 году</t>
  </si>
  <si>
    <t>Перечень автомобильных дорог общего пользования регионального или межмуниципального значения, подлежащих устройству недостающего электроосвещения в 2024 году</t>
  </si>
  <si>
    <t>Перечень автомобильных дорог общего пользования регионального или межмуниципального значения, подлежащих ремонту в 2024 году (по мероприятию «Увеличение доли автомобильных дорог общего пользования регионального или межмуниципального значения, отвечающих нормативным требованиям, и обеспечение их устойчивого функционирования»)</t>
  </si>
  <si>
    <t>Перечень автомобильных дорог общего пользования регионального или межмуниципального значения, подлежащих ремонту в 2024 году 
(по региональному проекту «Региональная и местная дорожная сеть»)</t>
  </si>
  <si>
    <t>Перечень искусственных сооружений на автомобильных дорогах общего пользования регионального или межмуниципального значения, подлежащих ремонту в 2024 году (по мероприятию «Увеличение доли автомобильных дорог общего пользования регионального или межмуниципального значения, отвечающих нормативным требованиям, и обеспечение их устойчивого функционирования»)</t>
  </si>
  <si>
    <t>Содержание автомобильных дорог общего пользования регионального или межмуниципального значения за счет финансирования 2024 года</t>
  </si>
  <si>
    <t>Капитальный ремонт в части устройства недостающего электроосвещения на автомобильной дороге Быковка – Богородицк (н.п. Богородицк) в Богородицком районе Тульской области</t>
  </si>
  <si>
    <t>Капитальный ремонт в части устройства недостающего электроосвещения на автомобильной дороге Волово - Баскаково - Панарино (н.п. Садовый, н.п. Баскаково, н.п. Панарино) в Воловском районе Тульской области</t>
  </si>
  <si>
    <t>Капитальный ремонт в части устройства недостающего электроосвещения на автомобильной дороге «Дубна – Лобжа» - Ясеновая (н.п. Дроково, н.п. Ясеновая) в Дубенском районе Тульской области</t>
  </si>
  <si>
    <t>Капитальный ремонт в части устройства недостающего электроосвещения на автомобильной дороге «Тула - Белев» - автоподъезд к населенному пункту Лужное (н.п. Лужное) в Дубенском районе Тульской области</t>
  </si>
  <si>
    <t>Капитальный ремонт в части устройства недостающего электроосвещения на автомобильной дороге «Тула - Белев» - Слобода (н.п. Слобода) в Дубенском районе Тульской области</t>
  </si>
  <si>
    <t>Капитальный ремонт в части устройства недостающего электроосвещения на автомобильной дороге «Лапотково - Ефремов» - Ситово (н.п. Ситово) в Каменском районе Тульской области</t>
  </si>
  <si>
    <t>Капитальный ремонт в части устройства недостающего электроосвещения на автомобильной дороге «Лапотково - Ефремов» - Сапроново (н.п. Мостаушка, н.п. Сапроново) в Каменском районе Тульской области</t>
  </si>
  <si>
    <t>Капитальный ремонт в части устройства недостающего электроосвещения на автомобильной дороге «Чернь - Медведки» - Новопетровский (н.п. Новопетровский) в Каменском районе Тульской области</t>
  </si>
  <si>
    <t>Капитальный ремонт в части устройства недостающего электроосвещения на автомобильной дороге «Кашира – Серебряные Пруды – Кимовск – Узловая» – автоподъезд к населенному пункту Зубовка (н.п. Зубовка) в Кимовском районе Тульской области</t>
  </si>
  <si>
    <t>Капитальный ремонт в части устройства недостающего электроосвещения на автомобильной дороге «Кашира – Серебряные Пруды – Кимовск – Узловая» – автоподъезд к населенному пункту Зубовский (мкр. Зубовский, н.п. Новая Жизнь) в Кимовском районе Тульской области</t>
  </si>
  <si>
    <t>Капитальный ремонт в части устройства недостающего электроосвещения на автомобильной дороге Епифань - Барановка - Саломатовка (н.п. Саломатовка, н.п. Барановка) в Кимовском районе Тульской области</t>
  </si>
  <si>
    <t>Капитальный ремонт в части устройства недостающего электроосвещения на автомобильной дороге Бучалки – Черемухово (н.п. Бучалки) в Кимовском районе Тульской области</t>
  </si>
  <si>
    <t>Капитальный ремонт в части устройства недостающего электроосвещения на автомобильной дороге Епифань – Барановка - Соломатовка (н.п. Комиссаровка) в Кимовском районе Тульской области</t>
  </si>
  <si>
    <t>Капитальный ремонт в части устройства недостающего электроосвещения на автомобильной дороге Кашира – Серебряные пруды – Кимовск – Узловая (км 121+915 - км 122+290, км 124+620 - км 124+685) в Кимовском районе Тульской области</t>
  </si>
  <si>
    <t>Киреевский  район</t>
  </si>
  <si>
    <t>Капитальный ремонт в части устройства недостающего электроосвещения на автомобильной дороге «Липки - Бородинский - Большие Калмыки» - Круглое - Подосинки (н.п. Круглое, н.п. Подосинки) в Киреевском районе Тульской области</t>
  </si>
  <si>
    <t>Капитальный ремонт в части устройства недостающего электроосвещения на автомобильной дороге «М-4 «Дон». Москва – Воронеж – Ростов-на-Дону – Краснодар – Новороссийск» – Новомосковск (км 44+980 – км 47+885) в Киреевском районе Тульской области</t>
  </si>
  <si>
    <t>Капитальный ремонт в части устройства недостающего электроосвещения на автомобильной дороге «М-4 «Дон». Москва – Воронеж – Ростов-на-Дону – Краснодар – Новороссийск» – Новомосковск (км 35+205 - км 41+295, км 42+580 – км 43+500, км 47+885 – км 50+710) в Киреевском районе Тульской области</t>
  </si>
  <si>
    <t>Капитальный ремонт в части устройства недостающего электроосвещения на автомобильной дороге Автоподъезд к населенному пункту Самарский (н.п. Самарский) в Куркинском районе Тульской области</t>
  </si>
  <si>
    <t>Капитальный ремонт в части устройства недостающего электроосвещения на автомобильной дороге Автоподъезд к населенному пункту Кресты (н.п. Кресты) в Куркинском районе Тульской области</t>
  </si>
  <si>
    <t>Капитальный ремонт в части устройства недостающего электроосвещения на автомобильной дороге Обход поселка Куркино (н.п. Куркино) в Куркинском районе Тульской области</t>
  </si>
  <si>
    <t>Капитальный ремонт в части устройства недостающего электроосвещения на автомобильной дороге «М-4 «Дон». Москва - Воронеж - Ростов-на-Дону - Краснодар - Новороссийск» - Куркино (н.п. Куркино) в Куркинском районе Тульской области</t>
  </si>
  <si>
    <t>Капитальный ремонт в части устройства недостающего электроосвещения на автомобильной дороге Сергеевка – Осаново (н.п. Сергеевка, н.п. Осаново) в МО г. Новомосковск в Тульской области</t>
  </si>
  <si>
    <t>Капитальный ремонт в части устройства недостающего электроосвещения на автомобильной дороге Автоподъезд к населенному пункту Камынино (н.п. Камынино) в Плавском районе Тульской области</t>
  </si>
  <si>
    <t>Капитальный ремонт в части устройства недостающего электроосвещения на автомобильной дороге Ханино - Красное Михайлово (н.п. Ханино) в Суворовском районе Тульской области</t>
  </si>
  <si>
    <t>Капитальный ремонт в части устройства недостающего электроосвещения на автомобильной дороге Автоподъезд к населенному пункту Гущино (н.п. Новая Черепеть) в Суворовском районе Тульской области</t>
  </si>
  <si>
    <t>Капитальный ремонт в части устройства недостающего электроосвещения на автомобильной дороге «Чекалин - Суворов - Ханино» - автоподъезд к населенному пункту Балево (н.п. Балево) в Суворовском районе Тульской области</t>
  </si>
  <si>
    <t>Капитальный ремонт в части устройства недостающего электроосвещения на автомобильной дороге «М-4 «Дон». Москва - Воронеж - Ростов-на-Дону - Краснодар - Новороссийск» - Волово - Теплое (н.п. Александровка, н.п. Мосюковка) в Тепло-Огаревском районе Тульской области</t>
  </si>
  <si>
    <t>Капитальный ремонт в части устройства недостающего электроосвещения на автомобильной дороге «Тула - Новомосковск» (через обход г. Узловая) - автоподъезд к населенному пункту Пашково (н.п. Пашково) в Узловском районе Тульской области</t>
  </si>
  <si>
    <t>Капитальный ремонт в части устройства недостающего электроосвещения на автомобильной дороге «Узловая - 2 Россошинская» - автоподъезд к населенному пункту Ильинка (н.п. Ильинка) в Узловском районе Тульской области</t>
  </si>
  <si>
    <t>Капитальный ремонт в части устройства недостающего электроосвещения на автомобильной дороге Прилесье – Верховье – Люторичи (н.п. Прилесье) в Узловском районе Тульской области</t>
  </si>
  <si>
    <t>Капитальный ремонт в части устройства недостающего электроосвещения на автомобильной дороге «Богородицк - Епифань» - автоподъезд к населенному пункту Бутырки (н.п. Бутырки) в Узловском районе Тульской области</t>
  </si>
  <si>
    <t>Капитальный ремонт в части устройства недостающего электроосвещения на автомобильной дороге «Богородицк - Епифань» - автоподъезд к населенному пункту Бестужево (н.п. Бестужевский) в Узловском районе Тульской области</t>
  </si>
  <si>
    <t>Капитальный ремонт в части устройства недостающего электроосвещения на автомобильной дороге «Узловая - Богородицк» - автоподъезд к населенному пункту Болотовка через Прилесье (н.п. Прилесье) в Узловском районе Тульской области</t>
  </si>
  <si>
    <t>Капитальный ремонт в части устройства недостающего электроосвещения на автомобильной дороге «Щекино – Ломинцевский» - автоподъезд к д. Ломинцево (н.п. Гора Услань, н.п. Ломинцево) в Щекинском районе Тульской области</t>
  </si>
  <si>
    <t>январь</t>
  </si>
  <si>
    <t>Ремонт участка автомобильной дороги Чернь-Медведки км 46+520 - км 60+300 в Каменском районе Тульской области</t>
  </si>
  <si>
    <t>III - 13,780 км</t>
  </si>
  <si>
    <t>Ремонт участков автомобильной дороги Орел-Ефремов км 143+592 - км 147+000, км 147+600 - км 149+500, км 151+300 - км 151+387, км 151+491 - км 154+992 в Каменском районе Тульской области</t>
  </si>
  <si>
    <t>III - 8,896 км</t>
  </si>
  <si>
    <t>Ремонт участков автомобильной дороги Ханино-Новое-Ханино  км 0+000 - км 1+682, км 1+733 - км 3+320 в Суворовском районе Тульской области</t>
  </si>
  <si>
    <t>IV - 3,269 км</t>
  </si>
  <si>
    <t>Ремонт автомобильной дороги Автоподъезд к Новоалександровскому карьеру нерудных материалов км 0+000 - км 1+320 в Суворовском районе Тульской области</t>
  </si>
  <si>
    <t>IV - 1,320 км</t>
  </si>
  <si>
    <t>Ремонт участка автомобильной дороги Железня-Алексин км 5+900 - км 23+308 в Алексинском районе Тульской области</t>
  </si>
  <si>
    <t>III - 17,408 км</t>
  </si>
  <si>
    <t>III - 10,535 км</t>
  </si>
  <si>
    <t>Ремонт участка автомобильной дороги Венев-Матвеевка км 5+732 - км 12+405 в Веневском районе Тульской области</t>
  </si>
  <si>
    <t>III - 6,673 км</t>
  </si>
  <si>
    <t>IV - 3,470 км</t>
  </si>
  <si>
    <t>Ремонт участков автомобильной дороги Тула-Белев км 11+450 - км 25+595, км 25+800 - км 27+865 в Ленинском районе Тульской области</t>
  </si>
  <si>
    <t>III - 16,210 км</t>
  </si>
  <si>
    <t>III - 3,215 км</t>
  </si>
  <si>
    <t>Ремонт участков автомобильной дороги Кимовск-Новольвовск км 2+150 - км 3+100, км 9+590 - км 9+920, км 12+890 - км 14+770 в Кимовском районе Тульской области</t>
  </si>
  <si>
    <t>III - 3,160 км</t>
  </si>
  <si>
    <t>Ремонт участка автомобильной дороги Теплое-Троекурово км 8+300 - км 12+500 в Тепло-Огаревском районе Тульской области</t>
  </si>
  <si>
    <t>Ремонт участков автомобильной дороги Обход г. Узловая через Супонь км 0+000 - км 2+215, км 2+445 - км 6+050 в Узловском районе Тульской области</t>
  </si>
  <si>
    <t>III - 5,82 км</t>
  </si>
  <si>
    <t>Ремонт участков автомобильной дороги Чернь-Медведки км 10+500 - км 14+500, км 16+500 - км 17+620, км 19+710 - км 23+940 в Чернском районе Тульской области</t>
  </si>
  <si>
    <t>III - 9,260 км</t>
  </si>
  <si>
    <t>Ремонт участков автомобильной дороги Новое  Клейменово - Ясногорск - Мордвес км 28+000 - км 30+813, км 31+313 - км 39+800 в Ясногорском районе Тульской области</t>
  </si>
  <si>
    <t>Ремонт участков автомобильной дороги Кимовск-Епифань Куликово поле-Кресты км 25+400 - км 26+830, км 29+315 - км 31+100 в Кимовском районе Тульской области</t>
  </si>
  <si>
    <t>Ремонт моста через р. Красивая Меча на км 157+420 автодороги Орел - Ефремов в Ефремовском районе Тульской области</t>
  </si>
  <si>
    <t>Ремонт моста через р. Галица на км 151+439 а/д Орел - Ефремов в Каменском районе Тульской области</t>
  </si>
  <si>
    <t>Капитальный ремонт автомобильной дороги Алексин - Малое Савватеево - граница Калужской области на участке от н.п. Малое Савватеево до границы с Калужской областью в МО Алексинский район</t>
  </si>
  <si>
    <t>Ремонт участков автомобильной дороги  Богородицк-Товарковский-Куркино км 0+000 - км 4+415, км 18+660 - км 24+780 в Богородицком районе Тульской области</t>
  </si>
  <si>
    <t>Ремонт участка автомобильной дороги Волово-Баскаково-Панарино км 0+000 - км 3+470 в Воловском районе Тульской области</t>
  </si>
  <si>
    <t>переходящий на 2025 год</t>
  </si>
  <si>
    <t>−</t>
  </si>
  <si>
    <t>Ремонт участков автомобильной дороги Тула-Алексин-подъезд к станции Рюриково км 0+000 - км 2+595, км 2+661 - км 2+963 в Алексинском районе Тульской области</t>
  </si>
  <si>
    <t>IV - 2,897 км</t>
  </si>
  <si>
    <t>Ремонт участка автомобильной дороги «Р-92 Калуга - Перемышль - Белев - Орел» - Николо-Гастунь км 0+000 - км 4+000 в Белевском районе Тульской области</t>
  </si>
  <si>
    <t>IV - 4,000 км</t>
  </si>
  <si>
    <t>Ремонт участка автомобильной дороги Турдей-Кресты км 13+170 - км 16+170 в Воловском районе Тульской области</t>
  </si>
  <si>
    <t>IV - 3,000 км</t>
  </si>
  <si>
    <t>Ремонт участка автомобильной дороги М-4 «Дон» Москва-Воронеж-Ростов-на-Дону-Краснодар-Новороссийск» - Ступино км 18+580 - км 24+615 в Ефремовском районе Тульской области</t>
  </si>
  <si>
    <t>IV - 6,035 км</t>
  </si>
  <si>
    <t>Ремонт участков автомобильной дороги Ивановка-Грибоедово км 3+000 - км 8+515, км 8+720 - км 11+100 в Куркинском районе Тульской области</t>
  </si>
  <si>
    <t>IV - 7,895 км</t>
  </si>
  <si>
    <t>Ремонт участка автомобильной дороги Кимовск-Епифань-Куликово поле-Кресты км 52+340 - км 54+590 в Куркинском районе Тульской области</t>
  </si>
  <si>
    <t>III - 2,250 км</t>
  </si>
  <si>
    <t>Ремонт участков автомобильной дороги Скуратово-Фалдино-Кишкино км 0+131 - км 1+000 в Ленинском районе Тульской области</t>
  </si>
  <si>
    <t>IV - 0,869 км</t>
  </si>
  <si>
    <t>Ремонт участка автомобильной дороги «М-2 «Крым» Москва – Тула – Орел – Курск – Белгород – граница с Украиной- автоподъезд к населенному пункту Ленинский"-  Акульшино - «М-2 «Крым». Москва - Тула - Орел - Курск- Белгород - граница с Украиной" км 0+000 - км 4+783 в Ленинском районе Тульской области</t>
  </si>
  <si>
    <t>IV - 4,783 км</t>
  </si>
  <si>
    <t>Ремонт участка автомобильной дороги «М-2  «Крым» Москва - Тула - Орел - Курск - Белгород - граница с Украиной» -автоподъезд к населенному пункту Рахманово км 4+100 - км 4+900 в Плавском районе Тульской области</t>
  </si>
  <si>
    <t>IV - 0,800 км</t>
  </si>
  <si>
    <t>Ремонт участка автомобильной дороги «Новое-Клейменово-Ясногорск-Мордвес»-автоподъезд к населенному пункту Милино км 0+000 - км 5+345 в Ясногорском районе Тульской области</t>
  </si>
  <si>
    <t>IV - 5,345 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</si>
</sst>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0.000"/>
    <numFmt numFmtId="166" formatCode="#,##0.000"/>
    <numFmt numFmtId="167" formatCode="0.00000"/>
    <numFmt numFmtId="168" formatCode="#,##0.00000"/>
    <numFmt numFmtId="169" formatCode="0.00000000000000000%"/>
    <numFmt numFmtId="170" formatCode="#,##0.0000000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1"/>
    </font>
    <font>
      <b/>
      <i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0"/>
      <color theme="1"/>
      <name val="PT Astra Serif"/>
      <family val="1"/>
      <charset val="204"/>
    </font>
    <font>
      <i/>
      <sz val="12"/>
      <color theme="1"/>
      <name val="PT Astra Serif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rgb="FFFF0000"/>
      <name val="PT Astra Serif"/>
      <family val="1"/>
      <charset val="204"/>
    </font>
    <font>
      <b/>
      <i/>
      <sz val="11"/>
      <color theme="1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b/>
      <i/>
      <sz val="12"/>
      <name val="PT Astra Serif"/>
      <family val="1"/>
      <charset val="204"/>
    </font>
    <font>
      <b/>
      <i/>
      <sz val="11"/>
      <name val="PT Astra Serif"/>
      <family val="1"/>
      <charset val="204"/>
    </font>
    <font>
      <i/>
      <sz val="12"/>
      <name val="PT Astra Serif"/>
      <family val="1"/>
      <charset val="204"/>
    </font>
    <font>
      <sz val="11"/>
      <name val="PT Astra Serif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rgb="FF000000"/>
      <name val="PT Astra Serif"/>
      <family val="1"/>
      <charset val="204"/>
    </font>
    <font>
      <sz val="10"/>
      <name val="Arial Cyr"/>
      <family val="2"/>
      <charset val="204"/>
    </font>
    <font>
      <sz val="12"/>
      <color rgb="FF000000"/>
      <name val="Arial"/>
      <family val="2"/>
      <charset val="204"/>
    </font>
    <font>
      <b/>
      <i/>
      <sz val="12"/>
      <color theme="1"/>
      <name val="PT Astra Serif"/>
      <family val="1"/>
      <charset val="204"/>
    </font>
    <font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6" fillId="0" borderId="0"/>
  </cellStyleXfs>
  <cellXfs count="214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/>
    <xf numFmtId="164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/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1" xfId="0" applyFont="1" applyBorder="1"/>
    <xf numFmtId="165" fontId="17" fillId="0" borderId="1" xfId="1" applyNumberFormat="1" applyFont="1" applyBorder="1" applyAlignment="1">
      <alignment horizontal="center" vertical="center" wrapText="1"/>
    </xf>
    <xf numFmtId="165" fontId="17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justify"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justify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/>
    <xf numFmtId="0" fontId="21" fillId="2" borderId="1" xfId="0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center" vertical="center" wrapText="1"/>
    </xf>
    <xf numFmtId="4" fontId="17" fillId="2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165" fontId="17" fillId="0" borderId="0" xfId="1" applyNumberFormat="1" applyFont="1" applyAlignment="1">
      <alignment horizontal="center" vertical="center" wrapText="1"/>
    </xf>
    <xf numFmtId="0" fontId="15" fillId="0" borderId="1" xfId="0" applyFont="1" applyBorder="1" applyAlignment="1">
      <alignment horizontal="right"/>
    </xf>
    <xf numFmtId="0" fontId="18" fillId="0" borderId="1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 wrapText="1"/>
    </xf>
    <xf numFmtId="166" fontId="4" fillId="2" borderId="8" xfId="0" applyNumberFormat="1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left" vertical="center" wrapText="1"/>
    </xf>
    <xf numFmtId="166" fontId="0" fillId="0" borderId="0" xfId="0" applyNumberFormat="1"/>
    <xf numFmtId="168" fontId="0" fillId="0" borderId="0" xfId="0" applyNumberFormat="1"/>
    <xf numFmtId="168" fontId="24" fillId="0" borderId="0" xfId="0" applyNumberFormat="1" applyFont="1"/>
    <xf numFmtId="4" fontId="6" fillId="0" borderId="0" xfId="1" applyNumberFormat="1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/>
    </xf>
    <xf numFmtId="4" fontId="5" fillId="0" borderId="0" xfId="1" applyNumberFormat="1" applyFont="1" applyAlignment="1">
      <alignment horizontal="center" vertical="center" wrapText="1"/>
    </xf>
    <xf numFmtId="4" fontId="3" fillId="0" borderId="0" xfId="0" applyNumberFormat="1" applyFont="1"/>
    <xf numFmtId="0" fontId="5" fillId="0" borderId="9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4" fontId="4" fillId="0" borderId="0" xfId="0" applyNumberFormat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4" fontId="17" fillId="0" borderId="0" xfId="1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19" fillId="2" borderId="10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/>
    <xf numFmtId="164" fontId="6" fillId="0" borderId="2" xfId="1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4" fontId="27" fillId="0" borderId="0" xfId="0" applyNumberFormat="1" applyFont="1"/>
    <xf numFmtId="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/>
    <xf numFmtId="4" fontId="3" fillId="0" borderId="5" xfId="0" applyNumberFormat="1" applyFont="1" applyBorder="1"/>
    <xf numFmtId="4" fontId="3" fillId="0" borderId="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/>
    </xf>
    <xf numFmtId="164" fontId="3" fillId="3" borderId="0" xfId="0" applyNumberFormat="1" applyFont="1" applyFill="1"/>
    <xf numFmtId="0" fontId="5" fillId="0" borderId="1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vertical="center" wrapText="1"/>
    </xf>
    <xf numFmtId="165" fontId="16" fillId="0" borderId="5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/>
    <xf numFmtId="17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5" fontId="18" fillId="0" borderId="1" xfId="1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/>
    </xf>
    <xf numFmtId="0" fontId="23" fillId="0" borderId="1" xfId="0" applyFont="1" applyBorder="1"/>
    <xf numFmtId="2" fontId="5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3" fillId="2" borderId="0" xfId="0" applyFont="1" applyFill="1"/>
    <xf numFmtId="0" fontId="5" fillId="0" borderId="0" xfId="0" applyFont="1" applyAlignment="1">
      <alignment wrapText="1"/>
    </xf>
    <xf numFmtId="4" fontId="5" fillId="0" borderId="0" xfId="0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0" fontId="5" fillId="0" borderId="1" xfId="0" applyFont="1" applyBorder="1" applyAlignment="1">
      <alignment wrapText="1"/>
    </xf>
    <xf numFmtId="0" fontId="18" fillId="2" borderId="1" xfId="0" applyFont="1" applyFill="1" applyBorder="1" applyAlignment="1">
      <alignment horizontal="justify" vertical="top" wrapText="1"/>
    </xf>
    <xf numFmtId="164" fontId="5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6" fillId="2" borderId="1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164" fontId="18" fillId="2" borderId="1" xfId="1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164" fontId="21" fillId="2" borderId="1" xfId="0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3" fillId="3" borderId="0" xfId="0" applyNumberFormat="1" applyFont="1" applyFill="1" applyAlignment="1">
      <alignment horizontal="center"/>
    </xf>
    <xf numFmtId="169" fontId="3" fillId="0" borderId="0" xfId="0" applyNumberFormat="1" applyFont="1" applyAlignment="1">
      <alignment horizontal="center" vertical="center"/>
    </xf>
    <xf numFmtId="4" fontId="19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justify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justify" vertical="center" wrapText="1"/>
    </xf>
    <xf numFmtId="0" fontId="5" fillId="0" borderId="13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/>
    </xf>
    <xf numFmtId="4" fontId="25" fillId="0" borderId="5" xfId="1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170" fontId="3" fillId="0" borderId="0" xfId="0" applyNumberFormat="1" applyFont="1"/>
    <xf numFmtId="4" fontId="3" fillId="0" borderId="1" xfId="0" applyNumberFormat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justify" vertical="center" wrapText="1"/>
    </xf>
    <xf numFmtId="0" fontId="5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right"/>
    </xf>
    <xf numFmtId="2" fontId="2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5" fontId="28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nevceva.Alla/Desktop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2 кап.рем"/>
      <sheetName val="Приложение №3 Освещение"/>
      <sheetName val="Приложение №4 дороги (проч)"/>
      <sheetName val="Приложение №5 дороги (рег п)"/>
      <sheetName val="Приложение №6 мосты"/>
      <sheetName val="Приложение №7 содержание"/>
      <sheetName val="Свод"/>
      <sheetName val="Лист1"/>
    </sheetNames>
    <sheetDataSet>
      <sheetData sheetId="0"/>
      <sheetData sheetId="1"/>
      <sheetData sheetId="2">
        <row r="44">
          <cell r="C44">
            <v>65.138999999999996</v>
          </cell>
          <cell r="G44">
            <v>1477988000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"/>
  <sheetViews>
    <sheetView zoomScaleSheetLayoutView="100" workbookViewId="0">
      <selection activeCell="F1" sqref="F1:F1048576"/>
    </sheetView>
  </sheetViews>
  <sheetFormatPr defaultColWidth="9.140625" defaultRowHeight="15" x14ac:dyDescent="0.25"/>
  <cols>
    <col min="1" max="1" width="6.140625" style="1" customWidth="1"/>
    <col min="2" max="2" width="83.42578125" style="1" customWidth="1"/>
    <col min="3" max="3" width="15.140625" style="1" customWidth="1"/>
    <col min="4" max="4" width="14.85546875" style="1" customWidth="1"/>
    <col min="5" max="5" width="14.42578125" style="1" customWidth="1"/>
    <col min="6" max="6" width="18.140625" style="10" hidden="1" customWidth="1"/>
    <col min="7" max="7" width="5.28515625" style="1" customWidth="1"/>
    <col min="8" max="8" width="10.42578125" style="1" customWidth="1"/>
    <col min="9" max="9" width="24.140625" style="1" customWidth="1"/>
    <col min="10" max="10" width="12.42578125" style="1" bestFit="1" customWidth="1"/>
    <col min="11" max="11" width="10.140625" style="1" bestFit="1" customWidth="1"/>
    <col min="12" max="16384" width="9.140625" style="1"/>
  </cols>
  <sheetData>
    <row r="1" spans="1:6" ht="15.75" x14ac:dyDescent="0.25">
      <c r="A1" s="129"/>
      <c r="F1" s="11" t="s">
        <v>24</v>
      </c>
    </row>
    <row r="3" spans="1:6" ht="31.5" customHeight="1" x14ac:dyDescent="0.25">
      <c r="A3" s="195" t="s">
        <v>91</v>
      </c>
      <c r="B3" s="195"/>
      <c r="C3" s="195"/>
      <c r="D3" s="195"/>
      <c r="E3" s="195"/>
      <c r="F3" s="195"/>
    </row>
    <row r="4" spans="1:6" ht="14.25" customHeight="1" x14ac:dyDescent="0.25">
      <c r="A4" s="89"/>
      <c r="B4" s="89"/>
      <c r="C4" s="89"/>
      <c r="D4" s="89"/>
      <c r="E4" s="89"/>
      <c r="F4" s="89"/>
    </row>
    <row r="5" spans="1:6" x14ac:dyDescent="0.25">
      <c r="A5" s="198" t="s">
        <v>31</v>
      </c>
      <c r="B5" s="198"/>
      <c r="C5" s="198"/>
      <c r="D5" s="198"/>
      <c r="E5" s="198"/>
      <c r="F5" s="198"/>
    </row>
    <row r="7" spans="1:6" ht="16.5" customHeight="1" x14ac:dyDescent="0.25">
      <c r="A7" s="196" t="s">
        <v>0</v>
      </c>
      <c r="B7" s="196" t="s">
        <v>1</v>
      </c>
      <c r="C7" s="196" t="s">
        <v>2</v>
      </c>
      <c r="D7" s="196" t="s">
        <v>3</v>
      </c>
      <c r="E7" s="196"/>
      <c r="F7" s="197" t="s">
        <v>84</v>
      </c>
    </row>
    <row r="8" spans="1:6" ht="15.75" x14ac:dyDescent="0.25">
      <c r="A8" s="196"/>
      <c r="B8" s="196"/>
      <c r="C8" s="196"/>
      <c r="D8" s="72" t="s">
        <v>4</v>
      </c>
      <c r="E8" s="72" t="s">
        <v>5</v>
      </c>
      <c r="F8" s="197"/>
    </row>
    <row r="9" spans="1:6" ht="17.45" customHeight="1" x14ac:dyDescent="0.25">
      <c r="A9" s="2"/>
      <c r="B9" s="72" t="s">
        <v>75</v>
      </c>
      <c r="C9" s="128"/>
      <c r="D9" s="3"/>
      <c r="E9" s="3"/>
      <c r="F9" s="113"/>
    </row>
    <row r="10" spans="1:6" ht="47.25" customHeight="1" x14ac:dyDescent="0.25">
      <c r="A10" s="3">
        <v>1</v>
      </c>
      <c r="B10" s="12" t="s">
        <v>161</v>
      </c>
      <c r="C10" s="105">
        <v>2.109</v>
      </c>
      <c r="D10" s="3" t="s">
        <v>132</v>
      </c>
      <c r="E10" s="3" t="s">
        <v>15</v>
      </c>
      <c r="F10" s="115">
        <v>242490000</v>
      </c>
    </row>
    <row r="11" spans="1:6" ht="19.5" customHeight="1" x14ac:dyDescent="0.25">
      <c r="A11" s="2"/>
      <c r="B11" s="72" t="s">
        <v>9</v>
      </c>
      <c r="C11" s="5">
        <f>C10</f>
        <v>2.109</v>
      </c>
      <c r="D11" s="3"/>
      <c r="E11" s="3"/>
      <c r="F11" s="114">
        <f>F10</f>
        <v>242490000</v>
      </c>
    </row>
    <row r="12" spans="1:6" ht="19.5" customHeight="1" x14ac:dyDescent="0.25">
      <c r="A12" s="29"/>
      <c r="B12" s="72" t="s">
        <v>61</v>
      </c>
      <c r="C12" s="5">
        <f>C11</f>
        <v>2.109</v>
      </c>
      <c r="D12" s="116"/>
      <c r="E12" s="116"/>
      <c r="F12" s="114">
        <f>F11</f>
        <v>242490000</v>
      </c>
    </row>
  </sheetData>
  <mergeCells count="7">
    <mergeCell ref="A3:F3"/>
    <mergeCell ref="A7:A8"/>
    <mergeCell ref="B7:B8"/>
    <mergeCell ref="C7:C8"/>
    <mergeCell ref="D7:E7"/>
    <mergeCell ref="F7:F8"/>
    <mergeCell ref="A5:F5"/>
  </mergeCells>
  <pageMargins left="0.70866141732283472" right="0.70866141732283472" top="0.74803149606299213" bottom="0.74803149606299213" header="0.31496062992125984" footer="0.31496062992125984"/>
  <pageSetup paperSize="9" scale="86" fitToHeight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7"/>
  <sheetViews>
    <sheetView view="pageBreakPreview" zoomScaleNormal="100" zoomScaleSheetLayoutView="100" workbookViewId="0">
      <selection activeCell="F1" sqref="F1:F1048576"/>
    </sheetView>
  </sheetViews>
  <sheetFormatPr defaultColWidth="9.140625" defaultRowHeight="15.75" x14ac:dyDescent="0.25"/>
  <cols>
    <col min="1" max="1" width="9.140625" style="130"/>
    <col min="2" max="2" width="72.28515625" style="130" customWidth="1"/>
    <col min="3" max="3" width="19.7109375" style="130" customWidth="1"/>
    <col min="4" max="4" width="10.140625" style="180" customWidth="1"/>
    <col min="5" max="5" width="13.28515625" style="130" customWidth="1"/>
    <col min="6" max="6" width="18.7109375" style="131" hidden="1" customWidth="1"/>
    <col min="7" max="7" width="12.42578125" style="130" customWidth="1"/>
    <col min="8" max="8" width="20.42578125" style="130" customWidth="1"/>
    <col min="9" max="9" width="27.85546875" style="130" customWidth="1"/>
    <col min="10" max="16384" width="9.140625" style="130"/>
  </cols>
  <sheetData>
    <row r="1" spans="1:9" x14ac:dyDescent="0.25">
      <c r="F1" s="131" t="s">
        <v>72</v>
      </c>
    </row>
    <row r="3" spans="1:9" ht="15.6" customHeight="1" x14ac:dyDescent="0.25">
      <c r="A3" s="195" t="s">
        <v>92</v>
      </c>
      <c r="B3" s="195"/>
      <c r="C3" s="195"/>
      <c r="D3" s="195"/>
      <c r="E3" s="195"/>
      <c r="F3" s="195"/>
    </row>
    <row r="4" spans="1:9" ht="15" customHeight="1" x14ac:dyDescent="0.25">
      <c r="A4" s="195"/>
      <c r="B4" s="195"/>
      <c r="C4" s="195"/>
      <c r="D4" s="195"/>
      <c r="E4" s="195"/>
      <c r="F4" s="195"/>
    </row>
    <row r="5" spans="1:9" ht="15" customHeight="1" x14ac:dyDescent="0.25">
      <c r="A5" s="195"/>
      <c r="B5" s="195"/>
      <c r="C5" s="195"/>
      <c r="D5" s="195"/>
      <c r="E5" s="195"/>
      <c r="F5" s="195"/>
    </row>
    <row r="6" spans="1:9" ht="15" customHeight="1" x14ac:dyDescent="0.25">
      <c r="A6" s="201" t="s">
        <v>31</v>
      </c>
      <c r="B6" s="201"/>
      <c r="C6" s="201"/>
      <c r="D6" s="201"/>
      <c r="E6" s="201"/>
      <c r="F6" s="201"/>
    </row>
    <row r="8" spans="1:9" ht="15.75" customHeight="1" x14ac:dyDescent="0.25">
      <c r="A8" s="202" t="s">
        <v>0</v>
      </c>
      <c r="B8" s="202" t="s">
        <v>1</v>
      </c>
      <c r="C8" s="202" t="s">
        <v>70</v>
      </c>
      <c r="D8" s="204" t="s">
        <v>3</v>
      </c>
      <c r="E8" s="205"/>
      <c r="F8" s="206" t="s">
        <v>84</v>
      </c>
      <c r="G8" s="199"/>
      <c r="H8" s="199"/>
      <c r="I8" s="199"/>
    </row>
    <row r="9" spans="1:9" x14ac:dyDescent="0.25">
      <c r="A9" s="203"/>
      <c r="B9" s="203"/>
      <c r="C9" s="203"/>
      <c r="D9" s="33" t="s">
        <v>4</v>
      </c>
      <c r="E9" s="72" t="s">
        <v>5</v>
      </c>
      <c r="F9" s="207"/>
      <c r="G9" s="199"/>
      <c r="H9" s="199"/>
      <c r="I9" s="199"/>
    </row>
    <row r="10" spans="1:9" x14ac:dyDescent="0.25">
      <c r="A10" s="3"/>
      <c r="B10" s="35" t="s">
        <v>10</v>
      </c>
      <c r="C10" s="30"/>
      <c r="D10" s="181"/>
      <c r="E10" s="3"/>
      <c r="F10" s="46"/>
      <c r="G10" s="131"/>
      <c r="H10" s="132"/>
    </row>
    <row r="11" spans="1:9" ht="47.25" x14ac:dyDescent="0.25">
      <c r="A11" s="3">
        <v>1</v>
      </c>
      <c r="B11" s="6" t="s">
        <v>97</v>
      </c>
      <c r="C11" s="4">
        <v>0.14499999999999999</v>
      </c>
      <c r="D11" s="181" t="s">
        <v>132</v>
      </c>
      <c r="E11" s="3" t="s">
        <v>15</v>
      </c>
      <c r="F11" s="45">
        <v>1399320</v>
      </c>
      <c r="G11" s="131"/>
      <c r="H11" s="132"/>
    </row>
    <row r="12" spans="1:9" x14ac:dyDescent="0.25">
      <c r="A12" s="3"/>
      <c r="B12" s="35" t="s">
        <v>9</v>
      </c>
      <c r="C12" s="30">
        <f>C11</f>
        <v>0.14499999999999999</v>
      </c>
      <c r="D12" s="181"/>
      <c r="E12" s="3"/>
      <c r="F12" s="46">
        <f>F11</f>
        <v>1399320</v>
      </c>
      <c r="G12" s="131"/>
      <c r="H12" s="132"/>
    </row>
    <row r="13" spans="1:9" x14ac:dyDescent="0.25">
      <c r="A13" s="133"/>
      <c r="B13" s="33" t="s">
        <v>12</v>
      </c>
      <c r="C13" s="5"/>
      <c r="D13" s="182"/>
      <c r="E13" s="133"/>
      <c r="F13" s="114"/>
      <c r="G13" s="131"/>
      <c r="H13" s="132"/>
    </row>
    <row r="14" spans="1:9" ht="63" x14ac:dyDescent="0.25">
      <c r="A14" s="3">
        <v>2</v>
      </c>
      <c r="B14" s="6" t="s">
        <v>98</v>
      </c>
      <c r="C14" s="4">
        <v>2.9649999999999999</v>
      </c>
      <c r="D14" s="181" t="s">
        <v>132</v>
      </c>
      <c r="E14" s="3" t="s">
        <v>15</v>
      </c>
      <c r="F14" s="45">
        <v>12545230</v>
      </c>
      <c r="G14" s="131"/>
      <c r="H14" s="132"/>
    </row>
    <row r="15" spans="1:9" x14ac:dyDescent="0.25">
      <c r="A15" s="133"/>
      <c r="B15" s="33" t="s">
        <v>9</v>
      </c>
      <c r="C15" s="5">
        <f>C14</f>
        <v>2.9649999999999999</v>
      </c>
      <c r="D15" s="182"/>
      <c r="E15" s="133"/>
      <c r="F15" s="114">
        <f>F14</f>
        <v>12545230</v>
      </c>
      <c r="G15" s="131"/>
      <c r="H15" s="132"/>
    </row>
    <row r="16" spans="1:9" x14ac:dyDescent="0.25">
      <c r="A16" s="133"/>
      <c r="B16" s="33" t="s">
        <v>13</v>
      </c>
      <c r="C16" s="5"/>
      <c r="D16" s="182"/>
      <c r="E16" s="133"/>
      <c r="F16" s="114"/>
      <c r="H16" s="132"/>
    </row>
    <row r="17" spans="1:8" ht="60.75" customHeight="1" x14ac:dyDescent="0.25">
      <c r="A17" s="3">
        <v>3</v>
      </c>
      <c r="B17" s="32" t="s">
        <v>99</v>
      </c>
      <c r="C17" s="105">
        <v>1.27</v>
      </c>
      <c r="D17" s="181" t="s">
        <v>132</v>
      </c>
      <c r="E17" s="3" t="s">
        <v>15</v>
      </c>
      <c r="F17" s="45">
        <v>7101540</v>
      </c>
      <c r="G17" s="131"/>
      <c r="H17" s="132"/>
    </row>
    <row r="18" spans="1:8" ht="63" customHeight="1" x14ac:dyDescent="0.25">
      <c r="A18" s="3">
        <v>4</v>
      </c>
      <c r="B18" s="32" t="s">
        <v>100</v>
      </c>
      <c r="C18" s="105">
        <v>0.61</v>
      </c>
      <c r="D18" s="181" t="s">
        <v>132</v>
      </c>
      <c r="E18" s="3" t="s">
        <v>15</v>
      </c>
      <c r="F18" s="45">
        <v>2964980</v>
      </c>
      <c r="G18" s="131"/>
      <c r="H18" s="132"/>
    </row>
    <row r="19" spans="1:8" ht="51.75" customHeight="1" x14ac:dyDescent="0.25">
      <c r="A19" s="3">
        <v>5</v>
      </c>
      <c r="B19" s="32" t="s">
        <v>101</v>
      </c>
      <c r="C19" s="105">
        <v>0.15</v>
      </c>
      <c r="D19" s="181" t="s">
        <v>132</v>
      </c>
      <c r="E19" s="3" t="s">
        <v>15</v>
      </c>
      <c r="F19" s="45">
        <v>1301040</v>
      </c>
      <c r="G19" s="131"/>
      <c r="H19" s="132"/>
    </row>
    <row r="20" spans="1:8" ht="16.899999999999999" customHeight="1" x14ac:dyDescent="0.25">
      <c r="A20" s="133"/>
      <c r="B20" s="35" t="s">
        <v>9</v>
      </c>
      <c r="C20" s="5">
        <f>SUM(C17:C19)</f>
        <v>2.0299999999999998</v>
      </c>
      <c r="D20" s="182"/>
      <c r="E20" s="133"/>
      <c r="F20" s="114">
        <f>SUM(F17:F19)</f>
        <v>11367560</v>
      </c>
      <c r="G20" s="131"/>
      <c r="H20" s="132"/>
    </row>
    <row r="21" spans="1:8" ht="16.899999999999999" customHeight="1" x14ac:dyDescent="0.25">
      <c r="A21" s="133"/>
      <c r="B21" s="35" t="s">
        <v>14</v>
      </c>
      <c r="C21" s="5"/>
      <c r="D21" s="182"/>
      <c r="E21" s="133"/>
      <c r="F21" s="114"/>
      <c r="G21" s="131"/>
      <c r="H21" s="132"/>
    </row>
    <row r="22" spans="1:8" ht="48" customHeight="1" x14ac:dyDescent="0.25">
      <c r="A22" s="3">
        <v>6</v>
      </c>
      <c r="B22" s="32" t="s">
        <v>102</v>
      </c>
      <c r="C22" s="105">
        <v>1.66</v>
      </c>
      <c r="D22" s="181" t="s">
        <v>132</v>
      </c>
      <c r="E22" s="3" t="s">
        <v>15</v>
      </c>
      <c r="F22" s="45">
        <v>5897430</v>
      </c>
      <c r="G22" s="131"/>
      <c r="H22" s="132"/>
    </row>
    <row r="23" spans="1:8" ht="61.5" customHeight="1" x14ac:dyDescent="0.25">
      <c r="A23" s="3">
        <v>7</v>
      </c>
      <c r="B23" s="32" t="s">
        <v>103</v>
      </c>
      <c r="C23" s="105">
        <v>1.52</v>
      </c>
      <c r="D23" s="181" t="s">
        <v>132</v>
      </c>
      <c r="E23" s="3" t="s">
        <v>15</v>
      </c>
      <c r="F23" s="45">
        <v>6460490</v>
      </c>
      <c r="G23" s="131"/>
      <c r="H23" s="132"/>
    </row>
    <row r="24" spans="1:8" ht="61.5" customHeight="1" x14ac:dyDescent="0.25">
      <c r="A24" s="3">
        <v>8</v>
      </c>
      <c r="B24" s="32" t="s">
        <v>104</v>
      </c>
      <c r="C24" s="105">
        <v>0.52</v>
      </c>
      <c r="D24" s="181" t="s">
        <v>132</v>
      </c>
      <c r="E24" s="3" t="s">
        <v>15</v>
      </c>
      <c r="F24" s="45">
        <v>2526950</v>
      </c>
      <c r="G24" s="131"/>
      <c r="H24" s="132"/>
    </row>
    <row r="25" spans="1:8" ht="16.899999999999999" customHeight="1" x14ac:dyDescent="0.25">
      <c r="A25" s="133"/>
      <c r="B25" s="35" t="s">
        <v>9</v>
      </c>
      <c r="C25" s="5">
        <f>SUM(C22:C24)</f>
        <v>3.7</v>
      </c>
      <c r="D25" s="182"/>
      <c r="E25" s="133"/>
      <c r="F25" s="114">
        <f>SUM(F22:F24)</f>
        <v>14884870</v>
      </c>
      <c r="G25" s="131"/>
      <c r="H25" s="132"/>
    </row>
    <row r="26" spans="1:8" x14ac:dyDescent="0.25">
      <c r="A26" s="3"/>
      <c r="B26" s="35" t="s">
        <v>67</v>
      </c>
      <c r="C26" s="31"/>
      <c r="D26" s="181"/>
      <c r="E26" s="3"/>
      <c r="F26" s="46"/>
      <c r="G26" s="131"/>
      <c r="H26" s="132"/>
    </row>
    <row r="27" spans="1:8" ht="63" x14ac:dyDescent="0.25">
      <c r="A27" s="3">
        <v>9</v>
      </c>
      <c r="B27" s="34" t="s">
        <v>105</v>
      </c>
      <c r="C27" s="60">
        <v>0.497</v>
      </c>
      <c r="D27" s="181" t="s">
        <v>132</v>
      </c>
      <c r="E27" s="3" t="s">
        <v>15</v>
      </c>
      <c r="F27" s="45">
        <v>2475910</v>
      </c>
      <c r="G27" s="131"/>
      <c r="H27" s="132"/>
    </row>
    <row r="28" spans="1:8" ht="78.75" x14ac:dyDescent="0.25">
      <c r="A28" s="3">
        <v>10</v>
      </c>
      <c r="B28" s="34" t="s">
        <v>106</v>
      </c>
      <c r="C28" s="60">
        <v>2.1749999999999998</v>
      </c>
      <c r="D28" s="181" t="s">
        <v>132</v>
      </c>
      <c r="E28" s="3" t="s">
        <v>15</v>
      </c>
      <c r="F28" s="45">
        <v>8244630</v>
      </c>
      <c r="G28" s="131"/>
      <c r="H28" s="132"/>
    </row>
    <row r="29" spans="1:8" ht="63" x14ac:dyDescent="0.25">
      <c r="A29" s="3">
        <v>11</v>
      </c>
      <c r="B29" s="34" t="s">
        <v>107</v>
      </c>
      <c r="C29" s="60">
        <v>2.2250000000000001</v>
      </c>
      <c r="D29" s="181" t="s">
        <v>132</v>
      </c>
      <c r="E29" s="3" t="s">
        <v>15</v>
      </c>
      <c r="F29" s="45">
        <v>8735480</v>
      </c>
      <c r="G29" s="131"/>
      <c r="H29" s="132"/>
    </row>
    <row r="30" spans="1:8" ht="47.25" x14ac:dyDescent="0.25">
      <c r="A30" s="3">
        <v>12</v>
      </c>
      <c r="B30" s="34" t="s">
        <v>108</v>
      </c>
      <c r="C30" s="60">
        <v>1.21</v>
      </c>
      <c r="D30" s="181" t="s">
        <v>132</v>
      </c>
      <c r="E30" s="3" t="s">
        <v>15</v>
      </c>
      <c r="F30" s="45">
        <v>5002560</v>
      </c>
      <c r="G30" s="131"/>
      <c r="H30" s="132"/>
    </row>
    <row r="31" spans="1:8" ht="63" x14ac:dyDescent="0.25">
      <c r="A31" s="3">
        <v>13</v>
      </c>
      <c r="B31" s="34" t="s">
        <v>109</v>
      </c>
      <c r="C31" s="60">
        <v>0.91500000000000004</v>
      </c>
      <c r="D31" s="181" t="s">
        <v>132</v>
      </c>
      <c r="E31" s="3" t="s">
        <v>15</v>
      </c>
      <c r="F31" s="45">
        <v>3842480</v>
      </c>
      <c r="G31" s="131"/>
      <c r="H31" s="132"/>
    </row>
    <row r="32" spans="1:8" ht="63" x14ac:dyDescent="0.25">
      <c r="A32" s="3">
        <v>14</v>
      </c>
      <c r="B32" s="34" t="s">
        <v>110</v>
      </c>
      <c r="C32" s="60">
        <v>0.375</v>
      </c>
      <c r="D32" s="181" t="s">
        <v>132</v>
      </c>
      <c r="E32" s="3" t="s">
        <v>15</v>
      </c>
      <c r="F32" s="45">
        <v>2652190</v>
      </c>
      <c r="G32" s="131"/>
      <c r="H32" s="132"/>
    </row>
    <row r="33" spans="1:8" x14ac:dyDescent="0.25">
      <c r="A33" s="3"/>
      <c r="B33" s="35" t="s">
        <v>9</v>
      </c>
      <c r="C33" s="31">
        <f>SUM(C27:C32)</f>
        <v>7.3970000000000002</v>
      </c>
      <c r="D33" s="181"/>
      <c r="E33" s="3"/>
      <c r="F33" s="46">
        <f>SUM(F27:F32)</f>
        <v>30953250</v>
      </c>
      <c r="G33" s="131"/>
      <c r="H33" s="132"/>
    </row>
    <row r="34" spans="1:8" x14ac:dyDescent="0.25">
      <c r="A34" s="3"/>
      <c r="B34" s="35" t="s">
        <v>111</v>
      </c>
      <c r="C34" s="30"/>
      <c r="D34" s="181"/>
      <c r="E34" s="3"/>
      <c r="F34" s="46"/>
      <c r="G34" s="131"/>
      <c r="H34" s="132"/>
    </row>
    <row r="35" spans="1:8" ht="63" x14ac:dyDescent="0.25">
      <c r="A35" s="3">
        <v>15</v>
      </c>
      <c r="B35" s="6" t="s">
        <v>112</v>
      </c>
      <c r="C35" s="4">
        <v>1.242</v>
      </c>
      <c r="D35" s="181" t="s">
        <v>132</v>
      </c>
      <c r="E35" s="3" t="s">
        <v>15</v>
      </c>
      <c r="F35" s="45">
        <v>6180810</v>
      </c>
      <c r="G35" s="131"/>
      <c r="H35" s="132"/>
    </row>
    <row r="36" spans="1:8" ht="78.75" x14ac:dyDescent="0.25">
      <c r="A36" s="3">
        <v>16</v>
      </c>
      <c r="B36" s="6" t="s">
        <v>113</v>
      </c>
      <c r="C36" s="4">
        <v>2.9049999999999998</v>
      </c>
      <c r="D36" s="181" t="s">
        <v>132</v>
      </c>
      <c r="E36" s="3" t="s">
        <v>15</v>
      </c>
      <c r="F36" s="45">
        <v>35155800</v>
      </c>
      <c r="G36" s="131"/>
      <c r="H36" s="132"/>
    </row>
    <row r="37" spans="1:8" ht="78.75" x14ac:dyDescent="0.25">
      <c r="A37" s="3">
        <v>17</v>
      </c>
      <c r="B37" s="6" t="s">
        <v>114</v>
      </c>
      <c r="C37" s="4">
        <v>9.8350000000000009</v>
      </c>
      <c r="D37" s="181" t="s">
        <v>132</v>
      </c>
      <c r="E37" s="3" t="s">
        <v>15</v>
      </c>
      <c r="F37" s="45">
        <v>154772670</v>
      </c>
      <c r="G37" s="131"/>
      <c r="H37" s="132"/>
    </row>
    <row r="38" spans="1:8" x14ac:dyDescent="0.25">
      <c r="A38" s="3"/>
      <c r="B38" s="35" t="s">
        <v>9</v>
      </c>
      <c r="C38" s="30">
        <f>SUM(C35:C37)</f>
        <v>13.981999999999999</v>
      </c>
      <c r="D38" s="181"/>
      <c r="E38" s="3"/>
      <c r="F38" s="46">
        <f>SUM(F35:F37)</f>
        <v>196109280</v>
      </c>
      <c r="G38" s="131"/>
      <c r="H38" s="132"/>
    </row>
    <row r="39" spans="1:8" x14ac:dyDescent="0.25">
      <c r="A39" s="3"/>
      <c r="B39" s="35" t="s">
        <v>68</v>
      </c>
      <c r="C39" s="30"/>
      <c r="D39" s="181"/>
      <c r="E39" s="3"/>
      <c r="F39" s="46"/>
      <c r="G39" s="131"/>
      <c r="H39" s="132"/>
    </row>
    <row r="40" spans="1:8" ht="63" x14ac:dyDescent="0.25">
      <c r="A40" s="3">
        <v>18</v>
      </c>
      <c r="B40" s="6" t="s">
        <v>115</v>
      </c>
      <c r="C40" s="4">
        <v>1.415</v>
      </c>
      <c r="D40" s="181" t="s">
        <v>132</v>
      </c>
      <c r="E40" s="3" t="s">
        <v>15</v>
      </c>
      <c r="F40" s="45">
        <v>5121340</v>
      </c>
      <c r="G40" s="131"/>
      <c r="H40" s="132"/>
    </row>
    <row r="41" spans="1:8" ht="63" x14ac:dyDescent="0.25">
      <c r="A41" s="3">
        <v>19</v>
      </c>
      <c r="B41" s="6" t="s">
        <v>116</v>
      </c>
      <c r="C41" s="4">
        <v>0.8</v>
      </c>
      <c r="D41" s="181" t="s">
        <v>132</v>
      </c>
      <c r="E41" s="3" t="s">
        <v>15</v>
      </c>
      <c r="F41" s="45">
        <v>3763300</v>
      </c>
      <c r="G41" s="131"/>
      <c r="H41" s="132"/>
    </row>
    <row r="42" spans="1:8" ht="47.25" x14ac:dyDescent="0.25">
      <c r="A42" s="3">
        <v>20</v>
      </c>
      <c r="B42" s="6" t="s">
        <v>117</v>
      </c>
      <c r="C42" s="4">
        <v>3</v>
      </c>
      <c r="D42" s="181" t="s">
        <v>132</v>
      </c>
      <c r="E42" s="3" t="s">
        <v>15</v>
      </c>
      <c r="F42" s="45">
        <v>11126340</v>
      </c>
      <c r="G42" s="131"/>
      <c r="H42" s="132"/>
    </row>
    <row r="43" spans="1:8" ht="63" x14ac:dyDescent="0.25">
      <c r="A43" s="3">
        <v>21</v>
      </c>
      <c r="B43" s="6" t="s">
        <v>118</v>
      </c>
      <c r="C43" s="4">
        <v>0.72499999999999998</v>
      </c>
      <c r="D43" s="181" t="s">
        <v>132</v>
      </c>
      <c r="E43" s="3" t="s">
        <v>15</v>
      </c>
      <c r="F43" s="45">
        <v>3119300</v>
      </c>
      <c r="G43" s="131"/>
      <c r="H43" s="132"/>
    </row>
    <row r="44" spans="1:8" x14ac:dyDescent="0.25">
      <c r="A44" s="3"/>
      <c r="B44" s="35" t="s">
        <v>9</v>
      </c>
      <c r="C44" s="30">
        <f>SUM(C40:C43)</f>
        <v>5.94</v>
      </c>
      <c r="D44" s="181"/>
      <c r="E44" s="3"/>
      <c r="F44" s="46">
        <f>SUM(F40:F43)</f>
        <v>23130280</v>
      </c>
      <c r="G44" s="131"/>
      <c r="H44" s="132"/>
    </row>
    <row r="45" spans="1:8" x14ac:dyDescent="0.25">
      <c r="A45" s="133"/>
      <c r="B45" s="33" t="s">
        <v>90</v>
      </c>
      <c r="C45" s="5"/>
      <c r="D45" s="182"/>
      <c r="E45" s="133"/>
      <c r="F45" s="114"/>
    </row>
    <row r="46" spans="1:8" ht="52.5" customHeight="1" x14ac:dyDescent="0.25">
      <c r="A46" s="3">
        <v>22</v>
      </c>
      <c r="B46" s="6" t="s">
        <v>119</v>
      </c>
      <c r="C46" s="4">
        <v>1.26</v>
      </c>
      <c r="D46" s="181" t="s">
        <v>132</v>
      </c>
      <c r="E46" s="3" t="s">
        <v>15</v>
      </c>
      <c r="F46" s="45">
        <v>5672680</v>
      </c>
    </row>
    <row r="47" spans="1:8" x14ac:dyDescent="0.25">
      <c r="A47" s="3"/>
      <c r="B47" s="35" t="s">
        <v>9</v>
      </c>
      <c r="C47" s="30">
        <f>C46</f>
        <v>1.26</v>
      </c>
      <c r="D47" s="181"/>
      <c r="E47" s="3"/>
      <c r="F47" s="46">
        <f>F46</f>
        <v>5672680</v>
      </c>
    </row>
    <row r="48" spans="1:8" hidden="1" x14ac:dyDescent="0.25">
      <c r="A48" s="47"/>
      <c r="B48" s="48"/>
      <c r="C48" s="49"/>
      <c r="D48" s="183"/>
      <c r="E48" s="47"/>
      <c r="F48" s="69"/>
      <c r="G48" s="131"/>
      <c r="H48" s="132"/>
    </row>
    <row r="49" spans="1:8" hidden="1" x14ac:dyDescent="0.25">
      <c r="A49" s="47"/>
      <c r="B49" s="48"/>
      <c r="C49" s="49"/>
      <c r="D49" s="183"/>
      <c r="E49" s="47"/>
      <c r="F49" s="69"/>
      <c r="G49" s="131"/>
      <c r="H49" s="132"/>
    </row>
    <row r="50" spans="1:8" hidden="1" x14ac:dyDescent="0.25">
      <c r="A50" s="47"/>
      <c r="B50" s="48"/>
      <c r="C50" s="49"/>
      <c r="D50" s="183"/>
      <c r="E50" s="47"/>
      <c r="F50" s="69"/>
      <c r="G50" s="131"/>
      <c r="H50" s="132"/>
    </row>
    <row r="51" spans="1:8" hidden="1" x14ac:dyDescent="0.25">
      <c r="A51" s="47"/>
      <c r="B51" s="48"/>
      <c r="C51" s="49"/>
      <c r="D51" s="183"/>
      <c r="E51" s="47"/>
      <c r="F51" s="69"/>
      <c r="G51" s="131"/>
      <c r="H51" s="132"/>
    </row>
    <row r="52" spans="1:8" x14ac:dyDescent="0.25">
      <c r="A52" s="3"/>
      <c r="B52" s="35" t="s">
        <v>22</v>
      </c>
      <c r="C52" s="30"/>
      <c r="D52" s="181"/>
      <c r="E52" s="3"/>
      <c r="F52" s="44"/>
      <c r="G52" s="131"/>
      <c r="H52" s="132"/>
    </row>
    <row r="53" spans="1:8" ht="63" x14ac:dyDescent="0.25">
      <c r="A53" s="3">
        <v>23</v>
      </c>
      <c r="B53" s="34" t="s">
        <v>120</v>
      </c>
      <c r="C53" s="60">
        <v>1.4</v>
      </c>
      <c r="D53" s="181" t="s">
        <v>132</v>
      </c>
      <c r="E53" s="3" t="s">
        <v>15</v>
      </c>
      <c r="F53" s="45">
        <v>6100680</v>
      </c>
      <c r="G53" s="131"/>
      <c r="H53" s="132"/>
    </row>
    <row r="54" spans="1:8" x14ac:dyDescent="0.25">
      <c r="A54" s="3"/>
      <c r="B54" s="35" t="s">
        <v>9</v>
      </c>
      <c r="C54" s="30">
        <f>C53</f>
        <v>1.4</v>
      </c>
      <c r="D54" s="181"/>
      <c r="E54" s="3"/>
      <c r="F54" s="44">
        <f>F53</f>
        <v>6100680</v>
      </c>
      <c r="G54" s="131"/>
      <c r="H54" s="132"/>
    </row>
    <row r="55" spans="1:8" x14ac:dyDescent="0.25">
      <c r="A55" s="3"/>
      <c r="B55" s="35" t="s">
        <v>16</v>
      </c>
      <c r="C55" s="30"/>
      <c r="D55" s="181"/>
      <c r="E55" s="3"/>
      <c r="F55" s="44"/>
      <c r="G55" s="131"/>
      <c r="H55" s="132"/>
    </row>
    <row r="56" spans="1:8" ht="47.25" x14ac:dyDescent="0.25">
      <c r="A56" s="3">
        <v>24</v>
      </c>
      <c r="B56" s="34" t="s">
        <v>121</v>
      </c>
      <c r="C56" s="60">
        <v>1.075</v>
      </c>
      <c r="D56" s="181" t="s">
        <v>132</v>
      </c>
      <c r="E56" s="3" t="s">
        <v>15</v>
      </c>
      <c r="F56" s="45">
        <v>4522100</v>
      </c>
      <c r="G56" s="131"/>
      <c r="H56" s="132"/>
    </row>
    <row r="57" spans="1:8" ht="63" x14ac:dyDescent="0.25">
      <c r="A57" s="3">
        <v>25</v>
      </c>
      <c r="B57" s="34" t="s">
        <v>122</v>
      </c>
      <c r="C57" s="60">
        <v>0.42</v>
      </c>
      <c r="D57" s="181" t="s">
        <v>132</v>
      </c>
      <c r="E57" s="3" t="s">
        <v>15</v>
      </c>
      <c r="F57" s="45">
        <v>2254830</v>
      </c>
      <c r="G57" s="131"/>
      <c r="H57" s="132"/>
    </row>
    <row r="58" spans="1:8" ht="63" x14ac:dyDescent="0.25">
      <c r="A58" s="3">
        <v>26</v>
      </c>
      <c r="B58" s="34" t="s">
        <v>123</v>
      </c>
      <c r="C58" s="60">
        <v>0.38200000000000001</v>
      </c>
      <c r="D58" s="181" t="s">
        <v>132</v>
      </c>
      <c r="E58" s="3" t="s">
        <v>15</v>
      </c>
      <c r="F58" s="45">
        <v>2191460</v>
      </c>
      <c r="G58" s="131"/>
      <c r="H58" s="132"/>
    </row>
    <row r="59" spans="1:8" x14ac:dyDescent="0.25">
      <c r="A59" s="3"/>
      <c r="B59" s="35" t="s">
        <v>9</v>
      </c>
      <c r="C59" s="30">
        <f>SUM(C56:C58)</f>
        <v>1.877</v>
      </c>
      <c r="D59" s="181"/>
      <c r="E59" s="3"/>
      <c r="F59" s="46">
        <f>SUM(F56:F58)</f>
        <v>8968390</v>
      </c>
      <c r="G59" s="131"/>
      <c r="H59" s="132"/>
    </row>
    <row r="60" spans="1:8" x14ac:dyDescent="0.25">
      <c r="A60" s="3"/>
      <c r="B60" s="35" t="s">
        <v>69</v>
      </c>
      <c r="C60" s="30"/>
      <c r="D60" s="181"/>
      <c r="E60" s="3"/>
      <c r="F60" s="46"/>
      <c r="G60" s="131"/>
      <c r="H60" s="132"/>
    </row>
    <row r="61" spans="1:8" ht="78.75" x14ac:dyDescent="0.25">
      <c r="A61" s="3">
        <v>27</v>
      </c>
      <c r="B61" s="34" t="s">
        <v>124</v>
      </c>
      <c r="C61" s="60">
        <v>1.99</v>
      </c>
      <c r="D61" s="181" t="s">
        <v>132</v>
      </c>
      <c r="E61" s="3" t="s">
        <v>15</v>
      </c>
      <c r="F61" s="45">
        <v>8446260</v>
      </c>
      <c r="G61" s="131"/>
      <c r="H61" s="132"/>
    </row>
    <row r="62" spans="1:8" x14ac:dyDescent="0.25">
      <c r="A62" s="3"/>
      <c r="B62" s="35" t="s">
        <v>9</v>
      </c>
      <c r="C62" s="30">
        <f>C61</f>
        <v>1.99</v>
      </c>
      <c r="D62" s="181"/>
      <c r="E62" s="3"/>
      <c r="F62" s="46">
        <f>F61</f>
        <v>8446260</v>
      </c>
      <c r="G62" s="131"/>
      <c r="H62" s="132"/>
    </row>
    <row r="63" spans="1:8" x14ac:dyDescent="0.25">
      <c r="A63" s="3"/>
      <c r="B63" s="35" t="s">
        <v>17</v>
      </c>
      <c r="C63" s="30"/>
      <c r="D63" s="181"/>
      <c r="E63" s="3"/>
      <c r="F63" s="46"/>
      <c r="G63" s="131"/>
      <c r="H63" s="132"/>
    </row>
    <row r="64" spans="1:8" ht="63" x14ac:dyDescent="0.25">
      <c r="A64" s="3">
        <v>28</v>
      </c>
      <c r="B64" s="34" t="s">
        <v>125</v>
      </c>
      <c r="C64" s="60">
        <v>0.78800000000000003</v>
      </c>
      <c r="D64" s="181" t="s">
        <v>132</v>
      </c>
      <c r="E64" s="3" t="s">
        <v>15</v>
      </c>
      <c r="F64" s="45">
        <v>3303150</v>
      </c>
      <c r="G64" s="131"/>
      <c r="H64" s="132"/>
    </row>
    <row r="65" spans="1:8" ht="63" x14ac:dyDescent="0.25">
      <c r="A65" s="3">
        <v>29</v>
      </c>
      <c r="B65" s="34" t="s">
        <v>126</v>
      </c>
      <c r="C65" s="60">
        <v>2.3090000000000002</v>
      </c>
      <c r="D65" s="181" t="s">
        <v>132</v>
      </c>
      <c r="E65" s="3" t="s">
        <v>15</v>
      </c>
      <c r="F65" s="45">
        <v>7770640</v>
      </c>
      <c r="G65" s="131"/>
      <c r="H65" s="132"/>
    </row>
    <row r="66" spans="1:8" ht="47.25" x14ac:dyDescent="0.25">
      <c r="A66" s="3">
        <v>30</v>
      </c>
      <c r="B66" s="34" t="s">
        <v>127</v>
      </c>
      <c r="C66" s="60">
        <v>0.97</v>
      </c>
      <c r="D66" s="181" t="s">
        <v>132</v>
      </c>
      <c r="E66" s="3" t="s">
        <v>15</v>
      </c>
      <c r="F66" s="45">
        <v>3879940</v>
      </c>
      <c r="G66" s="131"/>
      <c r="H66" s="132"/>
    </row>
    <row r="67" spans="1:8" ht="63" x14ac:dyDescent="0.25">
      <c r="A67" s="3">
        <v>31</v>
      </c>
      <c r="B67" s="34" t="s">
        <v>128</v>
      </c>
      <c r="C67" s="60">
        <v>1.53</v>
      </c>
      <c r="D67" s="181" t="s">
        <v>132</v>
      </c>
      <c r="E67" s="3" t="s">
        <v>15</v>
      </c>
      <c r="F67" s="45">
        <v>5793010</v>
      </c>
      <c r="G67" s="131"/>
      <c r="H67" s="132"/>
    </row>
    <row r="68" spans="1:8" ht="63" x14ac:dyDescent="0.25">
      <c r="A68" s="3">
        <v>32</v>
      </c>
      <c r="B68" s="34" t="s">
        <v>129</v>
      </c>
      <c r="C68" s="60">
        <v>0.46</v>
      </c>
      <c r="D68" s="181" t="s">
        <v>132</v>
      </c>
      <c r="E68" s="3" t="s">
        <v>15</v>
      </c>
      <c r="F68" s="45">
        <v>2468140</v>
      </c>
      <c r="G68" s="131"/>
      <c r="H68" s="132"/>
    </row>
    <row r="69" spans="1:8" ht="63" x14ac:dyDescent="0.25">
      <c r="A69" s="3">
        <v>33</v>
      </c>
      <c r="B69" s="34" t="s">
        <v>130</v>
      </c>
      <c r="C69" s="60">
        <v>1.4</v>
      </c>
      <c r="D69" s="181" t="s">
        <v>132</v>
      </c>
      <c r="E69" s="3" t="s">
        <v>15</v>
      </c>
      <c r="F69" s="45">
        <v>5337460</v>
      </c>
      <c r="G69" s="131"/>
      <c r="H69" s="132"/>
    </row>
    <row r="70" spans="1:8" x14ac:dyDescent="0.25">
      <c r="A70" s="3"/>
      <c r="B70" s="35" t="s">
        <v>9</v>
      </c>
      <c r="C70" s="30">
        <f>SUM(C64:C69)</f>
        <v>7.4569999999999999</v>
      </c>
      <c r="D70" s="181"/>
      <c r="E70" s="3"/>
      <c r="F70" s="46">
        <f>SUM(F64:F69)</f>
        <v>28552340</v>
      </c>
      <c r="G70" s="131"/>
      <c r="H70" s="132"/>
    </row>
    <row r="71" spans="1:8" x14ac:dyDescent="0.25">
      <c r="A71" s="3"/>
      <c r="B71" s="35" t="s">
        <v>23</v>
      </c>
      <c r="C71" s="30"/>
      <c r="D71" s="181"/>
      <c r="E71" s="3"/>
      <c r="F71" s="46"/>
      <c r="G71" s="131"/>
      <c r="H71" s="132"/>
    </row>
    <row r="72" spans="1:8" ht="63" x14ac:dyDescent="0.25">
      <c r="A72" s="3">
        <v>34</v>
      </c>
      <c r="B72" s="34" t="s">
        <v>131</v>
      </c>
      <c r="C72" s="60">
        <v>2.1</v>
      </c>
      <c r="D72" s="181" t="s">
        <v>132</v>
      </c>
      <c r="E72" s="3" t="s">
        <v>15</v>
      </c>
      <c r="F72" s="45">
        <v>6436990</v>
      </c>
      <c r="G72" s="131"/>
      <c r="H72" s="132"/>
    </row>
    <row r="73" spans="1:8" x14ac:dyDescent="0.25">
      <c r="A73" s="3"/>
      <c r="B73" s="35" t="s">
        <v>9</v>
      </c>
      <c r="C73" s="30">
        <f>C72</f>
        <v>2.1</v>
      </c>
      <c r="D73" s="181"/>
      <c r="E73" s="3"/>
      <c r="F73" s="46">
        <f>F72</f>
        <v>6436990</v>
      </c>
      <c r="G73" s="131"/>
      <c r="H73" s="132"/>
    </row>
    <row r="74" spans="1:8" x14ac:dyDescent="0.25">
      <c r="A74" s="7"/>
      <c r="B74" s="8" t="s">
        <v>71</v>
      </c>
      <c r="C74" s="5">
        <f>C12+C15+C20+C25+C33+C38+C44+C47+C54+C59+C62+C70+C73</f>
        <v>52.243000000000002</v>
      </c>
      <c r="D74" s="33"/>
      <c r="E74" s="72"/>
      <c r="F74" s="114">
        <f>F12+F15+F20+F25+F33+F38+F44+F47+F54+F59+F62+F70+F73</f>
        <v>354567130</v>
      </c>
    </row>
    <row r="77" spans="1:8" ht="15.6" customHeight="1" x14ac:dyDescent="0.25">
      <c r="A77" s="200"/>
      <c r="B77" s="200"/>
      <c r="C77" s="200"/>
      <c r="D77" s="200"/>
      <c r="E77" s="200"/>
      <c r="F77" s="200"/>
    </row>
  </sheetData>
  <mergeCells count="11">
    <mergeCell ref="G8:G9"/>
    <mergeCell ref="H8:H9"/>
    <mergeCell ref="I8:I9"/>
    <mergeCell ref="A77:F77"/>
    <mergeCell ref="A3:F5"/>
    <mergeCell ref="A6:F6"/>
    <mergeCell ref="A8:A9"/>
    <mergeCell ref="B8:B9"/>
    <mergeCell ref="C8:C9"/>
    <mergeCell ref="D8:E8"/>
    <mergeCell ref="F8:F9"/>
  </mergeCells>
  <pageMargins left="0.70866141732283472" right="0.70866141732283472" top="0.74803149606299213" bottom="0.23622047244094491" header="0.31496062992125984" footer="0.31496062992125984"/>
  <pageSetup paperSize="9" scale="85" fitToHeight="0" orientation="landscape" r:id="rId1"/>
  <rowBreaks count="3" manualBreakCount="3">
    <brk id="9" max="8" man="1"/>
    <brk id="20" max="8" man="1"/>
    <brk id="44" max="8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82"/>
  <sheetViews>
    <sheetView view="pageBreakPreview" topLeftCell="A34" zoomScaleNormal="100" zoomScaleSheetLayoutView="100" workbookViewId="0">
      <selection activeCell="G1" sqref="G1:G1048576"/>
    </sheetView>
  </sheetViews>
  <sheetFormatPr defaultColWidth="9.140625" defaultRowHeight="15" x14ac:dyDescent="0.25"/>
  <cols>
    <col min="1" max="1" width="9.140625" style="1"/>
    <col min="2" max="2" width="60.140625" style="1" customWidth="1"/>
    <col min="3" max="3" width="15.42578125" style="1" customWidth="1"/>
    <col min="4" max="4" width="13.85546875" style="1" customWidth="1"/>
    <col min="5" max="5" width="13.7109375" style="1" customWidth="1"/>
    <col min="6" max="6" width="17.5703125" style="1" customWidth="1"/>
    <col min="7" max="7" width="21.5703125" style="144" hidden="1" customWidth="1"/>
    <col min="8" max="8" width="15.5703125" style="10" customWidth="1"/>
    <col min="9" max="9" width="0.140625" style="82" customWidth="1"/>
    <col min="10" max="10" width="0" style="1" hidden="1" customWidth="1"/>
    <col min="11" max="11" width="14" style="1" bestFit="1" customWidth="1"/>
    <col min="12" max="12" width="20.140625" style="1" customWidth="1"/>
    <col min="13" max="13" width="10.140625" style="1" bestFit="1" customWidth="1"/>
    <col min="14" max="16384" width="9.140625" style="1"/>
  </cols>
  <sheetData>
    <row r="1" spans="1:11" ht="15.75" x14ac:dyDescent="0.25">
      <c r="G1" s="135" t="s">
        <v>30</v>
      </c>
      <c r="H1" s="192"/>
    </row>
    <row r="2" spans="1:11" ht="55.5" customHeight="1" x14ac:dyDescent="0.25">
      <c r="A2" s="195" t="s">
        <v>93</v>
      </c>
      <c r="B2" s="195"/>
      <c r="C2" s="195"/>
      <c r="D2" s="195"/>
      <c r="E2" s="195"/>
      <c r="F2" s="195"/>
      <c r="G2" s="195"/>
      <c r="H2" s="1"/>
    </row>
    <row r="3" spans="1:11" ht="15" customHeight="1" x14ac:dyDescent="0.25">
      <c r="A3" s="184"/>
      <c r="B3" s="184"/>
      <c r="C3" s="184"/>
      <c r="D3" s="184"/>
      <c r="E3" s="184"/>
      <c r="F3" s="184"/>
      <c r="G3" s="136"/>
      <c r="H3" s="1"/>
    </row>
    <row r="4" spans="1:11" ht="16.5" customHeight="1" x14ac:dyDescent="0.25">
      <c r="A4" s="198" t="s">
        <v>78</v>
      </c>
      <c r="B4" s="198"/>
      <c r="C4" s="198"/>
      <c r="D4" s="198"/>
      <c r="E4" s="198"/>
      <c r="F4" s="198"/>
      <c r="G4" s="198"/>
      <c r="H4" s="1"/>
    </row>
    <row r="5" spans="1:11" ht="16.5" customHeight="1" x14ac:dyDescent="0.25">
      <c r="A5" s="187"/>
      <c r="B5" s="187"/>
      <c r="C5" s="187"/>
      <c r="D5" s="187"/>
      <c r="E5" s="187"/>
      <c r="F5" s="187"/>
      <c r="G5" s="137"/>
      <c r="H5" s="1"/>
    </row>
    <row r="6" spans="1:11" ht="15.75" customHeight="1" x14ac:dyDescent="0.25">
      <c r="A6" s="196" t="s">
        <v>0</v>
      </c>
      <c r="B6" s="196" t="s">
        <v>1</v>
      </c>
      <c r="C6" s="196" t="s">
        <v>2</v>
      </c>
      <c r="D6" s="196" t="s">
        <v>51</v>
      </c>
      <c r="E6" s="196" t="s">
        <v>3</v>
      </c>
      <c r="F6" s="196"/>
      <c r="G6" s="210" t="s">
        <v>84</v>
      </c>
      <c r="H6" s="208" t="s">
        <v>50</v>
      </c>
    </row>
    <row r="7" spans="1:11" ht="15.75" x14ac:dyDescent="0.25">
      <c r="A7" s="196"/>
      <c r="B7" s="196"/>
      <c r="C7" s="196"/>
      <c r="D7" s="196"/>
      <c r="E7" s="185" t="s">
        <v>4</v>
      </c>
      <c r="F7" s="185" t="s">
        <v>5</v>
      </c>
      <c r="G7" s="210"/>
      <c r="H7" s="208"/>
    </row>
    <row r="8" spans="1:11" ht="31.5" customHeight="1" x14ac:dyDescent="0.25">
      <c r="A8" s="196" t="s">
        <v>28</v>
      </c>
      <c r="B8" s="209"/>
      <c r="C8" s="209"/>
      <c r="D8" s="209"/>
      <c r="E8" s="209"/>
      <c r="F8" s="209"/>
      <c r="G8" s="209"/>
      <c r="H8" s="79"/>
      <c r="I8" s="83"/>
    </row>
    <row r="9" spans="1:11" ht="15.75" x14ac:dyDescent="0.25">
      <c r="A9" s="3"/>
      <c r="B9" s="185"/>
      <c r="C9" s="3"/>
      <c r="D9" s="3"/>
      <c r="E9" s="3"/>
      <c r="F9" s="3"/>
      <c r="G9" s="138"/>
      <c r="H9" s="3"/>
      <c r="I9" s="83"/>
    </row>
    <row r="10" spans="1:11" ht="15.75" x14ac:dyDescent="0.25">
      <c r="A10" s="3"/>
      <c r="B10" s="37" t="s">
        <v>75</v>
      </c>
      <c r="C10" s="185"/>
      <c r="D10" s="185"/>
      <c r="E10" s="3"/>
      <c r="F10" s="3"/>
      <c r="G10" s="139"/>
      <c r="H10" s="185"/>
      <c r="I10" s="84"/>
      <c r="K10" s="68"/>
    </row>
    <row r="11" spans="1:11" ht="49.5" customHeight="1" x14ac:dyDescent="0.25">
      <c r="A11" s="3">
        <v>1</v>
      </c>
      <c r="B11" s="134" t="s">
        <v>166</v>
      </c>
      <c r="C11" s="4">
        <f>2.963-2.661+2.595</f>
        <v>2.8969999999999998</v>
      </c>
      <c r="D11" s="60" t="s">
        <v>52</v>
      </c>
      <c r="E11" s="4" t="s">
        <v>7</v>
      </c>
      <c r="F11" s="3" t="s">
        <v>62</v>
      </c>
      <c r="G11" s="43">
        <v>59835000</v>
      </c>
      <c r="H11" s="4" t="s">
        <v>167</v>
      </c>
      <c r="I11" s="84">
        <v>153662403.28999999</v>
      </c>
      <c r="K11" s="58"/>
    </row>
    <row r="12" spans="1:11" ht="15.75" x14ac:dyDescent="0.25">
      <c r="A12" s="3"/>
      <c r="B12" s="37" t="s">
        <v>9</v>
      </c>
      <c r="C12" s="5">
        <f>SUM(C11:C11)</f>
        <v>2.8969999999999998</v>
      </c>
      <c r="D12" s="5"/>
      <c r="E12" s="3"/>
      <c r="F12" s="3"/>
      <c r="G12" s="140">
        <f>SUM(G11:G11)</f>
        <v>59835000</v>
      </c>
      <c r="H12" s="5"/>
      <c r="I12" s="84"/>
      <c r="K12" s="67"/>
    </row>
    <row r="13" spans="1:11" ht="15.75" x14ac:dyDescent="0.25">
      <c r="A13" s="3"/>
      <c r="B13" s="37" t="s">
        <v>20</v>
      </c>
      <c r="C13" s="185"/>
      <c r="D13" s="185"/>
      <c r="E13" s="3"/>
      <c r="F13" s="3"/>
      <c r="G13" s="139"/>
      <c r="H13" s="185"/>
      <c r="I13" s="84"/>
      <c r="K13" s="68"/>
    </row>
    <row r="14" spans="1:11" ht="47.25" x14ac:dyDescent="0.25">
      <c r="A14" s="3">
        <v>2</v>
      </c>
      <c r="B14" s="134" t="s">
        <v>168</v>
      </c>
      <c r="C14" s="4">
        <v>4</v>
      </c>
      <c r="D14" s="60" t="s">
        <v>52</v>
      </c>
      <c r="E14" s="4" t="s">
        <v>7</v>
      </c>
      <c r="F14" s="3" t="s">
        <v>62</v>
      </c>
      <c r="G14" s="43">
        <v>82616000</v>
      </c>
      <c r="H14" s="4" t="s">
        <v>169</v>
      </c>
      <c r="I14" s="84">
        <v>153662403.28999999</v>
      </c>
      <c r="K14" s="58"/>
    </row>
    <row r="15" spans="1:11" ht="15.75" x14ac:dyDescent="0.25">
      <c r="A15" s="3"/>
      <c r="B15" s="37" t="s">
        <v>9</v>
      </c>
      <c r="C15" s="5">
        <f>SUM(C14:C14)</f>
        <v>4</v>
      </c>
      <c r="D15" s="5"/>
      <c r="E15" s="3"/>
      <c r="F15" s="3"/>
      <c r="G15" s="140">
        <f>SUM(G14:G14)</f>
        <v>82616000</v>
      </c>
      <c r="H15" s="5"/>
      <c r="I15" s="84"/>
      <c r="K15" s="67"/>
    </row>
    <row r="16" spans="1:11" ht="15.75" x14ac:dyDescent="0.25">
      <c r="A16" s="3"/>
      <c r="B16" s="37" t="s">
        <v>12</v>
      </c>
      <c r="C16" s="185"/>
      <c r="D16" s="185"/>
      <c r="E16" s="3"/>
      <c r="F16" s="3"/>
      <c r="G16" s="139"/>
      <c r="H16" s="185"/>
      <c r="I16" s="84"/>
      <c r="K16" s="68"/>
    </row>
    <row r="17" spans="1:11" ht="33" customHeight="1" x14ac:dyDescent="0.25">
      <c r="A17" s="3">
        <v>3</v>
      </c>
      <c r="B17" s="134" t="s">
        <v>170</v>
      </c>
      <c r="C17" s="4">
        <f>16.17-13.17</f>
        <v>3</v>
      </c>
      <c r="D17" s="60" t="s">
        <v>52</v>
      </c>
      <c r="E17" s="4" t="s">
        <v>7</v>
      </c>
      <c r="F17" s="3" t="s">
        <v>62</v>
      </c>
      <c r="G17" s="43">
        <v>61962000</v>
      </c>
      <c r="H17" s="4" t="s">
        <v>171</v>
      </c>
      <c r="I17" s="84">
        <v>153662403.28999999</v>
      </c>
      <c r="K17" s="58"/>
    </row>
    <row r="18" spans="1:11" ht="15.75" x14ac:dyDescent="0.25">
      <c r="A18" s="3"/>
      <c r="B18" s="37" t="s">
        <v>9</v>
      </c>
      <c r="C18" s="5">
        <f>SUM(C17:C17)</f>
        <v>3</v>
      </c>
      <c r="D18" s="5"/>
      <c r="E18" s="3"/>
      <c r="F18" s="3"/>
      <c r="G18" s="140">
        <f>SUM(G17:G17)</f>
        <v>61962000</v>
      </c>
      <c r="H18" s="5"/>
      <c r="I18" s="84"/>
      <c r="K18" s="67"/>
    </row>
    <row r="19" spans="1:11" ht="15.75" x14ac:dyDescent="0.25">
      <c r="A19" s="3"/>
      <c r="B19" s="37" t="s">
        <v>76</v>
      </c>
      <c r="C19" s="185"/>
      <c r="D19" s="185"/>
      <c r="E19" s="3"/>
      <c r="F19" s="3"/>
      <c r="G19" s="139"/>
      <c r="H19" s="185"/>
      <c r="I19" s="84"/>
      <c r="K19" s="68"/>
    </row>
    <row r="20" spans="1:11" ht="63" x14ac:dyDescent="0.25">
      <c r="A20" s="3">
        <v>4</v>
      </c>
      <c r="B20" s="134" t="s">
        <v>172</v>
      </c>
      <c r="C20" s="4">
        <f>24.615-18.58</f>
        <v>6.0350000000000001</v>
      </c>
      <c r="D20" s="60" t="s">
        <v>52</v>
      </c>
      <c r="E20" s="4" t="s">
        <v>7</v>
      </c>
      <c r="F20" s="3" t="s">
        <v>62</v>
      </c>
      <c r="G20" s="43">
        <v>124647000</v>
      </c>
      <c r="H20" s="4" t="s">
        <v>173</v>
      </c>
      <c r="I20" s="84">
        <v>153662403.28999999</v>
      </c>
      <c r="K20" s="58"/>
    </row>
    <row r="21" spans="1:11" ht="15.75" x14ac:dyDescent="0.25">
      <c r="A21" s="3"/>
      <c r="B21" s="37" t="s">
        <v>9</v>
      </c>
      <c r="C21" s="5">
        <f>SUM(C20:C20)</f>
        <v>6.0350000000000001</v>
      </c>
      <c r="D21" s="5"/>
      <c r="E21" s="3"/>
      <c r="F21" s="3"/>
      <c r="G21" s="140">
        <f>SUM(G20:G20)</f>
        <v>124647000</v>
      </c>
      <c r="H21" s="5"/>
      <c r="I21" s="84"/>
      <c r="K21" s="67"/>
    </row>
    <row r="22" spans="1:11" ht="15.75" x14ac:dyDescent="0.25">
      <c r="A22" s="3"/>
      <c r="B22" s="37" t="s">
        <v>14</v>
      </c>
      <c r="C22" s="185"/>
      <c r="D22" s="185"/>
      <c r="E22" s="3"/>
      <c r="F22" s="3"/>
      <c r="G22" s="139"/>
      <c r="H22" s="185"/>
      <c r="I22" s="84"/>
      <c r="K22" s="68"/>
    </row>
    <row r="23" spans="1:11" ht="32.25" customHeight="1" x14ac:dyDescent="0.25">
      <c r="A23" s="3">
        <v>5</v>
      </c>
      <c r="B23" s="134" t="s">
        <v>133</v>
      </c>
      <c r="C23" s="4">
        <f>60.3-46.52</f>
        <v>13.78</v>
      </c>
      <c r="D23" s="60" t="s">
        <v>53</v>
      </c>
      <c r="E23" s="4" t="s">
        <v>7</v>
      </c>
      <c r="F23" s="3" t="s">
        <v>62</v>
      </c>
      <c r="G23" s="43">
        <v>357922000</v>
      </c>
      <c r="H23" s="4" t="s">
        <v>134</v>
      </c>
      <c r="I23" s="84">
        <v>153662403.28999999</v>
      </c>
      <c r="K23" s="58"/>
    </row>
    <row r="24" spans="1:11" ht="63" x14ac:dyDescent="0.25">
      <c r="A24" s="3">
        <v>6</v>
      </c>
      <c r="B24" s="134" t="s">
        <v>135</v>
      </c>
      <c r="C24" s="4">
        <f>154.992-151.491+151.387-151.3+149.5-147.6+147-143.592</f>
        <v>8.8960000000000008</v>
      </c>
      <c r="D24" s="60" t="s">
        <v>53</v>
      </c>
      <c r="E24" s="4" t="s">
        <v>7</v>
      </c>
      <c r="F24" s="3" t="s">
        <v>62</v>
      </c>
      <c r="G24" s="43">
        <v>231065000</v>
      </c>
      <c r="H24" s="60" t="s">
        <v>136</v>
      </c>
      <c r="I24" s="84"/>
      <c r="K24" s="58"/>
    </row>
    <row r="25" spans="1:11" ht="15.75" x14ac:dyDescent="0.25">
      <c r="A25" s="3"/>
      <c r="B25" s="37" t="s">
        <v>9</v>
      </c>
      <c r="C25" s="5">
        <f>SUM(C23:C24)</f>
        <v>22.675999999999998</v>
      </c>
      <c r="D25" s="5"/>
      <c r="E25" s="3"/>
      <c r="F25" s="3"/>
      <c r="G25" s="140">
        <f>SUM(G23:G24)</f>
        <v>588987000</v>
      </c>
      <c r="H25" s="5"/>
      <c r="I25" s="84"/>
      <c r="K25" s="67"/>
    </row>
    <row r="26" spans="1:11" ht="15.75" x14ac:dyDescent="0.25">
      <c r="A26" s="3"/>
      <c r="B26" s="37" t="s">
        <v>68</v>
      </c>
      <c r="C26" s="185"/>
      <c r="D26" s="185"/>
      <c r="E26" s="3"/>
      <c r="F26" s="3"/>
      <c r="G26" s="139"/>
      <c r="H26" s="185"/>
      <c r="I26" s="84"/>
      <c r="K26" s="68"/>
    </row>
    <row r="27" spans="1:11" ht="47.25" x14ac:dyDescent="0.25">
      <c r="A27" s="3">
        <v>7</v>
      </c>
      <c r="B27" s="134" t="s">
        <v>174</v>
      </c>
      <c r="C27" s="4">
        <f>11.1-8.72+8.515-3</f>
        <v>7.8949999999999996</v>
      </c>
      <c r="D27" s="60" t="s">
        <v>52</v>
      </c>
      <c r="E27" s="4" t="s">
        <v>7</v>
      </c>
      <c r="F27" s="3" t="s">
        <v>62</v>
      </c>
      <c r="G27" s="43">
        <v>163063000</v>
      </c>
      <c r="H27" s="4" t="s">
        <v>175</v>
      </c>
      <c r="I27" s="84">
        <v>153662403.28999999</v>
      </c>
      <c r="K27" s="58"/>
    </row>
    <row r="28" spans="1:11" ht="47.25" x14ac:dyDescent="0.25">
      <c r="A28" s="3">
        <v>8</v>
      </c>
      <c r="B28" s="134" t="s">
        <v>176</v>
      </c>
      <c r="C28" s="4">
        <f>54.59-52.34</f>
        <v>2.25</v>
      </c>
      <c r="D28" s="60" t="s">
        <v>53</v>
      </c>
      <c r="E28" s="4" t="s">
        <v>7</v>
      </c>
      <c r="F28" s="3" t="s">
        <v>62</v>
      </c>
      <c r="G28" s="43">
        <v>58442000</v>
      </c>
      <c r="H28" s="60" t="s">
        <v>177</v>
      </c>
      <c r="I28" s="84"/>
      <c r="K28" s="58"/>
    </row>
    <row r="29" spans="1:11" ht="15.75" x14ac:dyDescent="0.25">
      <c r="A29" s="3"/>
      <c r="B29" s="37" t="s">
        <v>9</v>
      </c>
      <c r="C29" s="5">
        <f>SUM(C27:C28)</f>
        <v>10.145</v>
      </c>
      <c r="D29" s="5"/>
      <c r="E29" s="3"/>
      <c r="F29" s="3"/>
      <c r="G29" s="140">
        <f>SUM(G27:G28)</f>
        <v>221505000</v>
      </c>
      <c r="H29" s="5"/>
      <c r="I29" s="84"/>
      <c r="K29" s="67"/>
    </row>
    <row r="30" spans="1:11" ht="15.75" x14ac:dyDescent="0.25">
      <c r="A30" s="3"/>
      <c r="B30" s="37" t="s">
        <v>80</v>
      </c>
      <c r="C30" s="185"/>
      <c r="D30" s="185"/>
      <c r="E30" s="3"/>
      <c r="F30" s="3"/>
      <c r="G30" s="139"/>
      <c r="H30" s="185"/>
      <c r="I30" s="84"/>
      <c r="K30" s="68"/>
    </row>
    <row r="31" spans="1:11" ht="47.25" x14ac:dyDescent="0.25">
      <c r="A31" s="3">
        <v>7</v>
      </c>
      <c r="B31" s="134" t="s">
        <v>178</v>
      </c>
      <c r="C31" s="4">
        <f>1-0.131</f>
        <v>0.86899999999999999</v>
      </c>
      <c r="D31" s="60" t="s">
        <v>52</v>
      </c>
      <c r="E31" s="4" t="s">
        <v>7</v>
      </c>
      <c r="F31" s="3" t="s">
        <v>62</v>
      </c>
      <c r="G31" s="43">
        <v>17948000</v>
      </c>
      <c r="H31" s="4" t="s">
        <v>179</v>
      </c>
      <c r="I31" s="84">
        <v>153662403.28999999</v>
      </c>
      <c r="K31" s="58"/>
    </row>
    <row r="32" spans="1:11" ht="94.5" x14ac:dyDescent="0.25">
      <c r="A32" s="3">
        <v>8</v>
      </c>
      <c r="B32" s="134" t="s">
        <v>180</v>
      </c>
      <c r="C32" s="4">
        <v>4.7830000000000004</v>
      </c>
      <c r="D32" s="60" t="s">
        <v>52</v>
      </c>
      <c r="E32" s="4" t="s">
        <v>7</v>
      </c>
      <c r="F32" s="3" t="s">
        <v>62</v>
      </c>
      <c r="G32" s="43">
        <v>98788000</v>
      </c>
      <c r="H32" s="4" t="s">
        <v>181</v>
      </c>
      <c r="I32" s="84"/>
      <c r="K32" s="58"/>
    </row>
    <row r="33" spans="1:12" ht="15.75" x14ac:dyDescent="0.25">
      <c r="A33" s="3"/>
      <c r="B33" s="37" t="s">
        <v>9</v>
      </c>
      <c r="C33" s="5">
        <f>SUM(C31:C32)</f>
        <v>5.6520000000000001</v>
      </c>
      <c r="D33" s="5"/>
      <c r="E33" s="3"/>
      <c r="F33" s="3"/>
      <c r="G33" s="140">
        <f>SUM(G31:G32)</f>
        <v>116736000</v>
      </c>
      <c r="H33" s="5"/>
      <c r="I33" s="84"/>
      <c r="K33" s="67"/>
    </row>
    <row r="34" spans="1:12" ht="15.75" x14ac:dyDescent="0.25">
      <c r="A34" s="3"/>
      <c r="B34" s="37" t="s">
        <v>22</v>
      </c>
      <c r="C34" s="185"/>
      <c r="D34" s="185"/>
      <c r="E34" s="3"/>
      <c r="F34" s="3"/>
      <c r="G34" s="139"/>
      <c r="H34" s="185"/>
      <c r="I34" s="84"/>
      <c r="K34" s="68"/>
    </row>
    <row r="35" spans="1:12" ht="66" customHeight="1" x14ac:dyDescent="0.25">
      <c r="A35" s="3">
        <v>9</v>
      </c>
      <c r="B35" s="134" t="s">
        <v>182</v>
      </c>
      <c r="C35" s="4">
        <f>4.9-4.1</f>
        <v>0.8</v>
      </c>
      <c r="D35" s="60" t="s">
        <v>52</v>
      </c>
      <c r="E35" s="4" t="s">
        <v>7</v>
      </c>
      <c r="F35" s="3" t="s">
        <v>62</v>
      </c>
      <c r="G35" s="43">
        <v>16523000</v>
      </c>
      <c r="H35" s="4" t="s">
        <v>183</v>
      </c>
      <c r="I35" s="84">
        <v>153662403.28999999</v>
      </c>
      <c r="K35" s="58"/>
    </row>
    <row r="36" spans="1:12" ht="15.75" x14ac:dyDescent="0.25">
      <c r="A36" s="3"/>
      <c r="B36" s="37" t="s">
        <v>9</v>
      </c>
      <c r="C36" s="5">
        <f>SUM(C35:C35)</f>
        <v>0.8</v>
      </c>
      <c r="D36" s="5"/>
      <c r="E36" s="3"/>
      <c r="F36" s="3"/>
      <c r="G36" s="140">
        <f>SUM(G35:G35)</f>
        <v>16523000</v>
      </c>
      <c r="H36" s="5"/>
      <c r="I36" s="84"/>
      <c r="K36" s="67"/>
    </row>
    <row r="37" spans="1:12" ht="15.75" x14ac:dyDescent="0.25">
      <c r="A37" s="3"/>
      <c r="B37" s="37" t="s">
        <v>16</v>
      </c>
      <c r="C37" s="185"/>
      <c r="D37" s="185"/>
      <c r="E37" s="3"/>
      <c r="F37" s="3"/>
      <c r="G37" s="139"/>
      <c r="H37" s="185"/>
      <c r="I37" s="84"/>
      <c r="K37" s="68"/>
    </row>
    <row r="38" spans="1:12" ht="54" customHeight="1" x14ac:dyDescent="0.25">
      <c r="A38" s="3">
        <v>10</v>
      </c>
      <c r="B38" s="36" t="s">
        <v>137</v>
      </c>
      <c r="C38" s="4">
        <f>3.32-1.733+1.682</f>
        <v>3.2690000000000001</v>
      </c>
      <c r="D38" s="4" t="s">
        <v>52</v>
      </c>
      <c r="E38" s="4" t="s">
        <v>7</v>
      </c>
      <c r="F38" s="3" t="s">
        <v>62</v>
      </c>
      <c r="G38" s="43">
        <v>67518000</v>
      </c>
      <c r="H38" s="4" t="s">
        <v>138</v>
      </c>
      <c r="I38" s="84">
        <v>83493983.859999999</v>
      </c>
      <c r="K38" s="62"/>
    </row>
    <row r="39" spans="1:12" ht="50.25" customHeight="1" x14ac:dyDescent="0.25">
      <c r="A39" s="3">
        <v>11</v>
      </c>
      <c r="B39" s="36" t="s">
        <v>139</v>
      </c>
      <c r="C39" s="4">
        <v>1.32</v>
      </c>
      <c r="D39" s="4" t="s">
        <v>52</v>
      </c>
      <c r="E39" s="4" t="s">
        <v>7</v>
      </c>
      <c r="F39" s="3" t="s">
        <v>62</v>
      </c>
      <c r="G39" s="43">
        <v>27263000</v>
      </c>
      <c r="H39" s="4" t="s">
        <v>140</v>
      </c>
      <c r="I39" s="84">
        <v>83493983.859999999</v>
      </c>
      <c r="K39" s="62"/>
    </row>
    <row r="40" spans="1:12" ht="15.75" x14ac:dyDescent="0.25">
      <c r="A40" s="3"/>
      <c r="B40" s="37" t="s">
        <v>9</v>
      </c>
      <c r="C40" s="30">
        <f>SUM(C38:C39)</f>
        <v>4.5890000000000004</v>
      </c>
      <c r="D40" s="4"/>
      <c r="E40" s="4"/>
      <c r="F40" s="3"/>
      <c r="G40" s="44">
        <f>SUM(G38:G39)</f>
        <v>94781000</v>
      </c>
      <c r="H40" s="4"/>
      <c r="I40" s="84"/>
      <c r="K40" s="69"/>
    </row>
    <row r="41" spans="1:12" ht="15.75" x14ac:dyDescent="0.25">
      <c r="A41" s="3"/>
      <c r="B41" s="37" t="s">
        <v>19</v>
      </c>
      <c r="C41" s="185"/>
      <c r="D41" s="185"/>
      <c r="E41" s="3"/>
      <c r="F41" s="3"/>
      <c r="G41" s="139"/>
      <c r="H41" s="185"/>
      <c r="I41" s="84"/>
      <c r="K41" s="68"/>
    </row>
    <row r="42" spans="1:12" ht="63" x14ac:dyDescent="0.25">
      <c r="A42" s="3">
        <v>12</v>
      </c>
      <c r="B42" s="134" t="s">
        <v>184</v>
      </c>
      <c r="C42" s="4">
        <v>5.3449999999999998</v>
      </c>
      <c r="D42" s="60" t="s">
        <v>52</v>
      </c>
      <c r="E42" s="4" t="s">
        <v>7</v>
      </c>
      <c r="F42" s="3" t="s">
        <v>62</v>
      </c>
      <c r="G42" s="43">
        <v>110396000</v>
      </c>
      <c r="H42" s="4" t="s">
        <v>185</v>
      </c>
      <c r="I42" s="84">
        <v>153662403.28999999</v>
      </c>
      <c r="K42" s="58"/>
    </row>
    <row r="43" spans="1:12" ht="15.75" x14ac:dyDescent="0.25">
      <c r="A43" s="3"/>
      <c r="B43" s="37" t="s">
        <v>9</v>
      </c>
      <c r="C43" s="5">
        <f>SUM(C42:C42)</f>
        <v>5.3449999999999998</v>
      </c>
      <c r="D43" s="5"/>
      <c r="E43" s="3"/>
      <c r="F43" s="3"/>
      <c r="G43" s="140">
        <f>SUM(G42:G42)</f>
        <v>110396000</v>
      </c>
      <c r="H43" s="5"/>
      <c r="I43" s="84"/>
      <c r="K43" s="67"/>
    </row>
    <row r="44" spans="1:12" ht="19.5" customHeight="1" x14ac:dyDescent="0.25">
      <c r="A44" s="7"/>
      <c r="B44" s="8" t="s">
        <v>55</v>
      </c>
      <c r="C44" s="118">
        <f>C12+C15+C18+C21+C25+C29+C33+C36+C40+C43</f>
        <v>65.138999999999996</v>
      </c>
      <c r="D44" s="118"/>
      <c r="E44" s="3"/>
      <c r="F44" s="3"/>
      <c r="G44" s="142">
        <f>G12+G15+G18+G21+G25+G29+G33+G36+G40+G43</f>
        <v>1477988000</v>
      </c>
      <c r="H44" s="118"/>
      <c r="I44" s="84"/>
      <c r="K44" s="70"/>
      <c r="L44" s="63"/>
    </row>
    <row r="45" spans="1:12" x14ac:dyDescent="0.25">
      <c r="A45" s="29"/>
      <c r="B45" s="50" t="s">
        <v>60</v>
      </c>
      <c r="C45" s="119">
        <f>C23+C24+C28</f>
        <v>24.925999999999998</v>
      </c>
      <c r="D45" s="29"/>
      <c r="E45" s="29"/>
      <c r="F45" s="29"/>
      <c r="G45" s="142">
        <f>G23+G24+G28</f>
        <v>647429000</v>
      </c>
      <c r="H45" s="29"/>
      <c r="I45" s="84"/>
      <c r="K45" s="71"/>
      <c r="L45" s="61"/>
    </row>
    <row r="46" spans="1:12" x14ac:dyDescent="0.25">
      <c r="A46" s="29"/>
      <c r="B46" s="50" t="s">
        <v>56</v>
      </c>
      <c r="C46" s="119">
        <f>C11+C14+C17+C20+C27+C31+C32+C35+C38+C39+C42</f>
        <v>40.213000000000001</v>
      </c>
      <c r="D46" s="29"/>
      <c r="E46" s="29"/>
      <c r="F46" s="29"/>
      <c r="G46" s="142">
        <f>G11+G14+G17+G20+G27+G31+G32+G35+G38+G39+G42</f>
        <v>830559000</v>
      </c>
      <c r="H46" s="29"/>
      <c r="I46" s="84"/>
      <c r="K46" s="71"/>
    </row>
    <row r="47" spans="1:12" x14ac:dyDescent="0.25">
      <c r="A47" s="29"/>
      <c r="B47" s="50" t="s">
        <v>57</v>
      </c>
      <c r="C47" s="119"/>
      <c r="D47" s="29"/>
      <c r="E47" s="29"/>
      <c r="F47" s="29"/>
      <c r="G47" s="142"/>
      <c r="H47" s="29"/>
      <c r="I47" s="84"/>
      <c r="K47" s="71"/>
    </row>
    <row r="48" spans="1:12" ht="15.75" hidden="1" customHeight="1" x14ac:dyDescent="0.25">
      <c r="G48" s="143">
        <v>1779541.6</v>
      </c>
      <c r="I48" s="151"/>
    </row>
    <row r="49" spans="1:9" x14ac:dyDescent="0.25">
      <c r="I49" s="153"/>
    </row>
    <row r="50" spans="1:9" ht="15.75" hidden="1" customHeight="1" x14ac:dyDescent="0.25">
      <c r="G50" s="191">
        <f>G48-G44</f>
        <v>-1476208458.4000001</v>
      </c>
      <c r="I50" s="152"/>
    </row>
    <row r="51" spans="1:9" ht="15" hidden="1" customHeight="1" x14ac:dyDescent="0.25"/>
    <row r="52" spans="1:9" ht="15.75" hidden="1" customHeight="1" x14ac:dyDescent="0.25">
      <c r="A52" s="38"/>
      <c r="B52" s="37" t="s">
        <v>18</v>
      </c>
      <c r="C52" s="108"/>
      <c r="D52" s="108"/>
      <c r="E52" s="120"/>
      <c r="F52" s="120"/>
      <c r="G52" s="145"/>
      <c r="H52" s="190"/>
    </row>
    <row r="53" spans="1:9" ht="66" hidden="1" customHeight="1" x14ac:dyDescent="0.25">
      <c r="A53" s="38">
        <v>33</v>
      </c>
      <c r="B53" s="36" t="s">
        <v>74</v>
      </c>
      <c r="C53" s="121">
        <v>2.98</v>
      </c>
      <c r="D53" s="121" t="s">
        <v>52</v>
      </c>
      <c r="E53" s="120" t="s">
        <v>7</v>
      </c>
      <c r="F53" s="120" t="s">
        <v>8</v>
      </c>
      <c r="G53" s="146">
        <v>30939.3</v>
      </c>
      <c r="H53" s="80" t="s">
        <v>63</v>
      </c>
    </row>
    <row r="54" spans="1:9" ht="15.75" hidden="1" customHeight="1" x14ac:dyDescent="0.25">
      <c r="A54" s="38"/>
      <c r="B54" s="37" t="s">
        <v>9</v>
      </c>
      <c r="C54" s="108">
        <f>C53</f>
        <v>2.98</v>
      </c>
      <c r="D54" s="108"/>
      <c r="E54" s="120"/>
      <c r="F54" s="120"/>
      <c r="G54" s="145">
        <f>G53</f>
        <v>30939.3</v>
      </c>
      <c r="H54" s="190"/>
    </row>
    <row r="55" spans="1:9" ht="15.75" hidden="1" customHeight="1" x14ac:dyDescent="0.25">
      <c r="A55" s="38"/>
      <c r="B55" s="37" t="s">
        <v>19</v>
      </c>
      <c r="C55" s="101"/>
      <c r="D55" s="101"/>
      <c r="E55" s="120"/>
      <c r="F55" s="120"/>
      <c r="G55" s="147"/>
      <c r="H55" s="80"/>
    </row>
    <row r="56" spans="1:9" ht="63" hidden="1" customHeight="1" x14ac:dyDescent="0.25">
      <c r="A56" s="38">
        <v>34</v>
      </c>
      <c r="B56" s="36" t="s">
        <v>73</v>
      </c>
      <c r="C56" s="121">
        <v>3.4</v>
      </c>
      <c r="D56" s="121" t="s">
        <v>54</v>
      </c>
      <c r="E56" s="117" t="s">
        <v>7</v>
      </c>
      <c r="F56" s="120" t="s">
        <v>62</v>
      </c>
      <c r="G56" s="147">
        <v>40061.4</v>
      </c>
      <c r="H56" s="80" t="s">
        <v>64</v>
      </c>
    </row>
    <row r="57" spans="1:9" ht="15.75" hidden="1" customHeight="1" x14ac:dyDescent="0.25">
      <c r="A57" s="38"/>
      <c r="B57" s="37" t="s">
        <v>9</v>
      </c>
      <c r="C57" s="108">
        <f>SUM(C56:C56)</f>
        <v>3.4</v>
      </c>
      <c r="D57" s="108"/>
      <c r="E57" s="120"/>
      <c r="F57" s="120"/>
      <c r="G57" s="145">
        <f>SUM(G56:G56)</f>
        <v>40061.4</v>
      </c>
      <c r="H57" s="190"/>
    </row>
    <row r="58" spans="1:9" ht="15.75" hidden="1" customHeight="1" x14ac:dyDescent="0.25">
      <c r="A58" s="39"/>
      <c r="B58" s="40" t="s">
        <v>55</v>
      </c>
      <c r="C58" s="122" t="e">
        <f>#REF!+#REF!+#REF!+#REF!+#REF!+#REF!+#REF!+#REF!+#REF!+#REF!+#REF!+#REF!+#REF!+C45+C48+C51+C54+C57</f>
        <v>#REF!</v>
      </c>
      <c r="D58" s="122"/>
      <c r="E58" s="120"/>
      <c r="F58" s="120"/>
      <c r="G58" s="148" t="e">
        <f>#REF!+#REF!+#REF!+#REF!+#REF!+#REF!+#REF!+#REF!+#REF!+#REF!+#REF!+#REF!+#REF!+G45+G48+G51+G54+G57+#REF!</f>
        <v>#REF!</v>
      </c>
      <c r="H58" s="81"/>
    </row>
    <row r="59" spans="1:9" ht="15" hidden="1" customHeight="1" x14ac:dyDescent="0.25">
      <c r="A59" s="41"/>
      <c r="B59" s="42" t="s">
        <v>60</v>
      </c>
      <c r="C59" s="123" t="e">
        <f>#REF!+#REF!</f>
        <v>#REF!</v>
      </c>
      <c r="D59" s="124"/>
      <c r="E59" s="124"/>
      <c r="F59" s="124"/>
      <c r="G59" s="149" t="e">
        <f>#REF!+#REF!+#REF!</f>
        <v>#REF!</v>
      </c>
    </row>
    <row r="60" spans="1:9" ht="15" hidden="1" customHeight="1" x14ac:dyDescent="0.25">
      <c r="A60" s="41"/>
      <c r="B60" s="42" t="s">
        <v>56</v>
      </c>
      <c r="C60" s="123" t="e">
        <f>#REF!+#REF!+#REF!+#REF!+#REF!+#REF!+#REF!+#REF!+#REF!+#REF!+#REF!+#REF!+#REF!+#REF!+C25+#REF!+#REF!+#REF!+#REF!+C38+C40+#REF!+#REF!+#REF!+C44+C47+C50+C53+6.79</f>
        <v>#REF!</v>
      </c>
      <c r="D60" s="124"/>
      <c r="E60" s="124"/>
      <c r="F60" s="124"/>
      <c r="G60" s="149" t="e">
        <f>#REF!+#REF!+#REF!+#REF!+#REF!+#REF!+#REF!+#REF!+#REF!+#REF!+#REF!+#REF!+G25+#REF!+#REF!+#REF!+#REF!+G38+G40+#REF!+#REF!+#REF!+G44+G47+G50+G53+69966.27+#REF!+#REF!</f>
        <v>#REF!</v>
      </c>
    </row>
    <row r="61" spans="1:9" ht="15" hidden="1" customHeight="1" x14ac:dyDescent="0.25">
      <c r="A61" s="41"/>
      <c r="B61" s="42" t="s">
        <v>57</v>
      </c>
      <c r="C61" s="123" t="e">
        <f>#REF!+C57+2.28</f>
        <v>#REF!</v>
      </c>
      <c r="D61" s="124"/>
      <c r="E61" s="124"/>
      <c r="F61" s="124"/>
      <c r="G61" s="149" t="e">
        <f>#REF!+G56+23493.83</f>
        <v>#REF!</v>
      </c>
    </row>
    <row r="62" spans="1:9" ht="15.75" hidden="1" customHeight="1" x14ac:dyDescent="0.25">
      <c r="G62" s="143">
        <v>1779541.6</v>
      </c>
    </row>
    <row r="63" spans="1:9" ht="15" hidden="1" customHeight="1" x14ac:dyDescent="0.25"/>
    <row r="64" spans="1:9" ht="15.75" hidden="1" customHeight="1" x14ac:dyDescent="0.25">
      <c r="G64" s="191" t="e">
        <f>G62-G58</f>
        <v>#REF!</v>
      </c>
      <c r="I64" s="87"/>
    </row>
    <row r="65" spans="3:11" x14ac:dyDescent="0.25">
      <c r="C65" s="110"/>
      <c r="I65" s="88"/>
    </row>
    <row r="66" spans="3:11" x14ac:dyDescent="0.25">
      <c r="C66" s="110"/>
      <c r="I66" s="88"/>
      <c r="K66" s="10"/>
    </row>
    <row r="67" spans="3:11" x14ac:dyDescent="0.25">
      <c r="I67" s="88"/>
    </row>
    <row r="68" spans="3:11" x14ac:dyDescent="0.25">
      <c r="I68" s="88"/>
    </row>
    <row r="69" spans="3:11" x14ac:dyDescent="0.25">
      <c r="I69" s="88"/>
    </row>
    <row r="70" spans="3:11" x14ac:dyDescent="0.25">
      <c r="I70" s="88"/>
    </row>
    <row r="71" spans="3:11" x14ac:dyDescent="0.25">
      <c r="I71" s="88"/>
    </row>
    <row r="72" spans="3:11" x14ac:dyDescent="0.25">
      <c r="I72" s="88"/>
    </row>
    <row r="73" spans="3:11" x14ac:dyDescent="0.25">
      <c r="I73" s="88"/>
    </row>
    <row r="74" spans="3:11" x14ac:dyDescent="0.25">
      <c r="I74" s="88"/>
    </row>
    <row r="75" spans="3:11" x14ac:dyDescent="0.25">
      <c r="I75" s="88"/>
    </row>
    <row r="76" spans="3:11" x14ac:dyDescent="0.25">
      <c r="I76" s="88"/>
    </row>
    <row r="77" spans="3:11" x14ac:dyDescent="0.25">
      <c r="I77" s="88"/>
    </row>
    <row r="78" spans="3:11" x14ac:dyDescent="0.25">
      <c r="I78" s="88"/>
    </row>
    <row r="79" spans="3:11" x14ac:dyDescent="0.25">
      <c r="I79" s="88"/>
    </row>
    <row r="80" spans="3:11" x14ac:dyDescent="0.25">
      <c r="I80" s="88"/>
    </row>
    <row r="81" spans="9:9" x14ac:dyDescent="0.25">
      <c r="I81" s="88"/>
    </row>
    <row r="82" spans="9:9" x14ac:dyDescent="0.25">
      <c r="I82" s="88"/>
    </row>
    <row r="83" spans="9:9" x14ac:dyDescent="0.25">
      <c r="I83" s="88"/>
    </row>
    <row r="84" spans="9:9" x14ac:dyDescent="0.25">
      <c r="I84" s="88"/>
    </row>
    <row r="85" spans="9:9" x14ac:dyDescent="0.25">
      <c r="I85" s="88"/>
    </row>
    <row r="86" spans="9:9" x14ac:dyDescent="0.25">
      <c r="I86" s="88"/>
    </row>
    <row r="87" spans="9:9" x14ac:dyDescent="0.25">
      <c r="I87" s="88"/>
    </row>
    <row r="88" spans="9:9" x14ac:dyDescent="0.25">
      <c r="I88" s="88"/>
    </row>
    <row r="89" spans="9:9" x14ac:dyDescent="0.25">
      <c r="I89" s="88"/>
    </row>
    <row r="90" spans="9:9" x14ac:dyDescent="0.25">
      <c r="I90" s="88"/>
    </row>
    <row r="91" spans="9:9" x14ac:dyDescent="0.25">
      <c r="I91" s="88"/>
    </row>
    <row r="92" spans="9:9" x14ac:dyDescent="0.25">
      <c r="I92" s="88"/>
    </row>
    <row r="93" spans="9:9" x14ac:dyDescent="0.25">
      <c r="I93" s="88"/>
    </row>
    <row r="94" spans="9:9" x14ac:dyDescent="0.25">
      <c r="I94" s="88"/>
    </row>
    <row r="95" spans="9:9" x14ac:dyDescent="0.25">
      <c r="I95" s="88"/>
    </row>
    <row r="96" spans="9:9" x14ac:dyDescent="0.25">
      <c r="I96" s="88"/>
    </row>
    <row r="97" spans="9:9" x14ac:dyDescent="0.25">
      <c r="I97" s="88"/>
    </row>
    <row r="98" spans="9:9" x14ac:dyDescent="0.25">
      <c r="I98" s="88"/>
    </row>
    <row r="99" spans="9:9" x14ac:dyDescent="0.25">
      <c r="I99" s="88"/>
    </row>
    <row r="100" spans="9:9" x14ac:dyDescent="0.25">
      <c r="I100" s="88"/>
    </row>
    <row r="101" spans="9:9" x14ac:dyDescent="0.25">
      <c r="I101" s="88"/>
    </row>
    <row r="102" spans="9:9" x14ac:dyDescent="0.25">
      <c r="I102" s="88"/>
    </row>
    <row r="103" spans="9:9" x14ac:dyDescent="0.25">
      <c r="I103" s="88"/>
    </row>
    <row r="104" spans="9:9" x14ac:dyDescent="0.25">
      <c r="I104" s="88"/>
    </row>
    <row r="105" spans="9:9" x14ac:dyDescent="0.25">
      <c r="I105" s="88"/>
    </row>
    <row r="106" spans="9:9" x14ac:dyDescent="0.25">
      <c r="I106" s="88"/>
    </row>
    <row r="107" spans="9:9" x14ac:dyDescent="0.25">
      <c r="I107" s="88"/>
    </row>
    <row r="108" spans="9:9" x14ac:dyDescent="0.25">
      <c r="I108" s="88"/>
    </row>
    <row r="109" spans="9:9" x14ac:dyDescent="0.25">
      <c r="I109" s="88"/>
    </row>
    <row r="110" spans="9:9" x14ac:dyDescent="0.25">
      <c r="I110" s="88"/>
    </row>
    <row r="111" spans="9:9" x14ac:dyDescent="0.25">
      <c r="I111" s="88"/>
    </row>
    <row r="112" spans="9:9" x14ac:dyDescent="0.25">
      <c r="I112" s="88"/>
    </row>
    <row r="113" spans="9:9" x14ac:dyDescent="0.25">
      <c r="I113" s="88"/>
    </row>
    <row r="114" spans="9:9" x14ac:dyDescent="0.25">
      <c r="I114" s="88"/>
    </row>
    <row r="115" spans="9:9" x14ac:dyDescent="0.25">
      <c r="I115" s="88"/>
    </row>
    <row r="116" spans="9:9" x14ac:dyDescent="0.25">
      <c r="I116" s="88"/>
    </row>
    <row r="117" spans="9:9" x14ac:dyDescent="0.25">
      <c r="I117" s="88"/>
    </row>
    <row r="118" spans="9:9" x14ac:dyDescent="0.25">
      <c r="I118" s="88"/>
    </row>
    <row r="119" spans="9:9" x14ac:dyDescent="0.25">
      <c r="I119" s="88"/>
    </row>
    <row r="120" spans="9:9" x14ac:dyDescent="0.25">
      <c r="I120" s="88"/>
    </row>
    <row r="121" spans="9:9" x14ac:dyDescent="0.25">
      <c r="I121" s="88"/>
    </row>
    <row r="122" spans="9:9" x14ac:dyDescent="0.25">
      <c r="I122" s="88"/>
    </row>
    <row r="123" spans="9:9" x14ac:dyDescent="0.25">
      <c r="I123" s="88"/>
    </row>
    <row r="124" spans="9:9" x14ac:dyDescent="0.25">
      <c r="I124" s="88"/>
    </row>
    <row r="125" spans="9:9" x14ac:dyDescent="0.25">
      <c r="I125" s="88"/>
    </row>
    <row r="126" spans="9:9" x14ac:dyDescent="0.25">
      <c r="I126" s="88"/>
    </row>
    <row r="127" spans="9:9" x14ac:dyDescent="0.25">
      <c r="I127" s="88"/>
    </row>
    <row r="128" spans="9:9" x14ac:dyDescent="0.25">
      <c r="I128" s="88"/>
    </row>
    <row r="129" spans="9:9" x14ac:dyDescent="0.25">
      <c r="I129" s="88"/>
    </row>
    <row r="130" spans="9:9" x14ac:dyDescent="0.25">
      <c r="I130" s="88"/>
    </row>
    <row r="131" spans="9:9" x14ac:dyDescent="0.25">
      <c r="I131" s="88"/>
    </row>
    <row r="132" spans="9:9" x14ac:dyDescent="0.25">
      <c r="I132" s="88"/>
    </row>
    <row r="133" spans="9:9" x14ac:dyDescent="0.25">
      <c r="I133" s="88"/>
    </row>
    <row r="134" spans="9:9" x14ac:dyDescent="0.25">
      <c r="I134" s="88"/>
    </row>
    <row r="135" spans="9:9" x14ac:dyDescent="0.25">
      <c r="I135" s="88"/>
    </row>
    <row r="136" spans="9:9" x14ac:dyDescent="0.25">
      <c r="I136" s="88"/>
    </row>
    <row r="137" spans="9:9" x14ac:dyDescent="0.25">
      <c r="I137" s="88"/>
    </row>
    <row r="138" spans="9:9" x14ac:dyDescent="0.25">
      <c r="I138" s="88"/>
    </row>
    <row r="139" spans="9:9" x14ac:dyDescent="0.25">
      <c r="I139" s="88"/>
    </row>
    <row r="140" spans="9:9" x14ac:dyDescent="0.25">
      <c r="I140" s="88"/>
    </row>
    <row r="141" spans="9:9" x14ac:dyDescent="0.25">
      <c r="I141" s="88"/>
    </row>
    <row r="142" spans="9:9" x14ac:dyDescent="0.25">
      <c r="I142" s="88"/>
    </row>
    <row r="143" spans="9:9" x14ac:dyDescent="0.25">
      <c r="I143" s="88"/>
    </row>
    <row r="144" spans="9:9" x14ac:dyDescent="0.25">
      <c r="I144" s="88"/>
    </row>
    <row r="145" spans="9:9" x14ac:dyDescent="0.25">
      <c r="I145" s="88"/>
    </row>
    <row r="146" spans="9:9" x14ac:dyDescent="0.25">
      <c r="I146" s="88"/>
    </row>
    <row r="147" spans="9:9" x14ac:dyDescent="0.25">
      <c r="I147" s="88"/>
    </row>
    <row r="148" spans="9:9" x14ac:dyDescent="0.25">
      <c r="I148" s="88"/>
    </row>
    <row r="149" spans="9:9" x14ac:dyDescent="0.25">
      <c r="I149" s="88"/>
    </row>
    <row r="150" spans="9:9" x14ac:dyDescent="0.25">
      <c r="I150" s="88"/>
    </row>
    <row r="151" spans="9:9" x14ac:dyDescent="0.25">
      <c r="I151" s="88"/>
    </row>
    <row r="152" spans="9:9" x14ac:dyDescent="0.25">
      <c r="I152" s="88"/>
    </row>
    <row r="153" spans="9:9" x14ac:dyDescent="0.25">
      <c r="I153" s="88"/>
    </row>
    <row r="154" spans="9:9" x14ac:dyDescent="0.25">
      <c r="I154" s="88"/>
    </row>
    <row r="155" spans="9:9" x14ac:dyDescent="0.25">
      <c r="I155" s="88"/>
    </row>
    <row r="156" spans="9:9" x14ac:dyDescent="0.25">
      <c r="I156" s="88"/>
    </row>
    <row r="157" spans="9:9" x14ac:dyDescent="0.25">
      <c r="I157" s="88"/>
    </row>
    <row r="158" spans="9:9" x14ac:dyDescent="0.25">
      <c r="I158" s="88"/>
    </row>
    <row r="159" spans="9:9" x14ac:dyDescent="0.25">
      <c r="I159" s="88"/>
    </row>
    <row r="160" spans="9:9" x14ac:dyDescent="0.25">
      <c r="I160" s="88"/>
    </row>
    <row r="161" spans="9:9" x14ac:dyDescent="0.25">
      <c r="I161" s="88"/>
    </row>
    <row r="162" spans="9:9" x14ac:dyDescent="0.25">
      <c r="I162" s="88"/>
    </row>
    <row r="163" spans="9:9" x14ac:dyDescent="0.25">
      <c r="I163" s="88"/>
    </row>
    <row r="164" spans="9:9" x14ac:dyDescent="0.25">
      <c r="I164" s="88"/>
    </row>
    <row r="165" spans="9:9" x14ac:dyDescent="0.25">
      <c r="I165" s="88"/>
    </row>
    <row r="166" spans="9:9" x14ac:dyDescent="0.25">
      <c r="I166" s="88"/>
    </row>
    <row r="167" spans="9:9" x14ac:dyDescent="0.25">
      <c r="I167" s="88"/>
    </row>
    <row r="168" spans="9:9" x14ac:dyDescent="0.25">
      <c r="I168" s="88"/>
    </row>
    <row r="169" spans="9:9" x14ac:dyDescent="0.25">
      <c r="I169" s="88"/>
    </row>
    <row r="170" spans="9:9" x14ac:dyDescent="0.25">
      <c r="I170" s="88"/>
    </row>
    <row r="171" spans="9:9" x14ac:dyDescent="0.25">
      <c r="I171" s="88"/>
    </row>
    <row r="172" spans="9:9" x14ac:dyDescent="0.25">
      <c r="I172" s="88"/>
    </row>
    <row r="173" spans="9:9" x14ac:dyDescent="0.25">
      <c r="I173" s="88"/>
    </row>
    <row r="174" spans="9:9" x14ac:dyDescent="0.25">
      <c r="I174" s="88"/>
    </row>
    <row r="175" spans="9:9" x14ac:dyDescent="0.25">
      <c r="I175" s="88"/>
    </row>
    <row r="176" spans="9:9" x14ac:dyDescent="0.25">
      <c r="I176" s="88"/>
    </row>
    <row r="177" spans="9:9" x14ac:dyDescent="0.25">
      <c r="I177" s="88"/>
    </row>
    <row r="178" spans="9:9" x14ac:dyDescent="0.25">
      <c r="I178" s="88"/>
    </row>
    <row r="179" spans="9:9" x14ac:dyDescent="0.25">
      <c r="I179" s="88"/>
    </row>
    <row r="180" spans="9:9" x14ac:dyDescent="0.25">
      <c r="I180" s="88"/>
    </row>
    <row r="181" spans="9:9" x14ac:dyDescent="0.25">
      <c r="I181" s="88"/>
    </row>
    <row r="182" spans="9:9" x14ac:dyDescent="0.25">
      <c r="I182" s="88"/>
    </row>
    <row r="183" spans="9:9" x14ac:dyDescent="0.25">
      <c r="I183" s="88"/>
    </row>
    <row r="184" spans="9:9" x14ac:dyDescent="0.25">
      <c r="I184" s="88"/>
    </row>
    <row r="185" spans="9:9" x14ac:dyDescent="0.25">
      <c r="I185" s="88"/>
    </row>
    <row r="186" spans="9:9" x14ac:dyDescent="0.25">
      <c r="I186" s="88"/>
    </row>
    <row r="187" spans="9:9" x14ac:dyDescent="0.25">
      <c r="I187" s="88"/>
    </row>
    <row r="188" spans="9:9" x14ac:dyDescent="0.25">
      <c r="I188" s="88"/>
    </row>
    <row r="189" spans="9:9" x14ac:dyDescent="0.25">
      <c r="I189" s="88"/>
    </row>
    <row r="190" spans="9:9" x14ac:dyDescent="0.25">
      <c r="I190" s="88"/>
    </row>
    <row r="191" spans="9:9" x14ac:dyDescent="0.25">
      <c r="I191" s="88"/>
    </row>
    <row r="192" spans="9:9" x14ac:dyDescent="0.25">
      <c r="I192" s="88"/>
    </row>
    <row r="193" spans="9:9" x14ac:dyDescent="0.25">
      <c r="I193" s="88"/>
    </row>
    <row r="194" spans="9:9" x14ac:dyDescent="0.25">
      <c r="I194" s="88"/>
    </row>
    <row r="195" spans="9:9" x14ac:dyDescent="0.25">
      <c r="I195" s="88"/>
    </row>
    <row r="196" spans="9:9" x14ac:dyDescent="0.25">
      <c r="I196" s="88"/>
    </row>
    <row r="197" spans="9:9" x14ac:dyDescent="0.25">
      <c r="I197" s="88"/>
    </row>
    <row r="198" spans="9:9" x14ac:dyDescent="0.25">
      <c r="I198" s="88"/>
    </row>
    <row r="199" spans="9:9" x14ac:dyDescent="0.25">
      <c r="I199" s="88"/>
    </row>
    <row r="200" spans="9:9" x14ac:dyDescent="0.25">
      <c r="I200" s="88"/>
    </row>
    <row r="201" spans="9:9" x14ac:dyDescent="0.25">
      <c r="I201" s="88"/>
    </row>
    <row r="202" spans="9:9" x14ac:dyDescent="0.25">
      <c r="I202" s="88"/>
    </row>
    <row r="203" spans="9:9" x14ac:dyDescent="0.25">
      <c r="I203" s="88"/>
    </row>
    <row r="204" spans="9:9" x14ac:dyDescent="0.25">
      <c r="I204" s="88"/>
    </row>
    <row r="205" spans="9:9" x14ac:dyDescent="0.25">
      <c r="I205" s="88"/>
    </row>
    <row r="206" spans="9:9" x14ac:dyDescent="0.25">
      <c r="I206" s="88"/>
    </row>
    <row r="207" spans="9:9" x14ac:dyDescent="0.25">
      <c r="I207" s="88"/>
    </row>
    <row r="208" spans="9:9" x14ac:dyDescent="0.25">
      <c r="I208" s="88"/>
    </row>
    <row r="209" spans="9:9" x14ac:dyDescent="0.25">
      <c r="I209" s="88"/>
    </row>
    <row r="210" spans="9:9" x14ac:dyDescent="0.25">
      <c r="I210" s="88"/>
    </row>
    <row r="211" spans="9:9" x14ac:dyDescent="0.25">
      <c r="I211" s="88"/>
    </row>
    <row r="212" spans="9:9" x14ac:dyDescent="0.25">
      <c r="I212" s="88"/>
    </row>
    <row r="213" spans="9:9" x14ac:dyDescent="0.25">
      <c r="I213" s="88"/>
    </row>
    <row r="214" spans="9:9" x14ac:dyDescent="0.25">
      <c r="I214" s="88"/>
    </row>
    <row r="215" spans="9:9" x14ac:dyDescent="0.25">
      <c r="I215" s="88"/>
    </row>
    <row r="216" spans="9:9" x14ac:dyDescent="0.25">
      <c r="I216" s="88"/>
    </row>
    <row r="217" spans="9:9" x14ac:dyDescent="0.25">
      <c r="I217" s="88"/>
    </row>
    <row r="218" spans="9:9" x14ac:dyDescent="0.25">
      <c r="I218" s="88"/>
    </row>
    <row r="219" spans="9:9" x14ac:dyDescent="0.25">
      <c r="I219" s="88"/>
    </row>
    <row r="220" spans="9:9" x14ac:dyDescent="0.25">
      <c r="I220" s="88"/>
    </row>
    <row r="221" spans="9:9" x14ac:dyDescent="0.25">
      <c r="I221" s="88"/>
    </row>
    <row r="222" spans="9:9" x14ac:dyDescent="0.25">
      <c r="I222" s="88"/>
    </row>
    <row r="223" spans="9:9" x14ac:dyDescent="0.25">
      <c r="I223" s="88"/>
    </row>
    <row r="224" spans="9:9" x14ac:dyDescent="0.25">
      <c r="I224" s="88"/>
    </row>
    <row r="225" spans="9:9" x14ac:dyDescent="0.25">
      <c r="I225" s="88"/>
    </row>
    <row r="226" spans="9:9" x14ac:dyDescent="0.25">
      <c r="I226" s="88"/>
    </row>
    <row r="227" spans="9:9" x14ac:dyDescent="0.25">
      <c r="I227" s="88"/>
    </row>
    <row r="228" spans="9:9" x14ac:dyDescent="0.25">
      <c r="I228" s="88"/>
    </row>
    <row r="229" spans="9:9" x14ac:dyDescent="0.25">
      <c r="I229" s="88"/>
    </row>
    <row r="230" spans="9:9" x14ac:dyDescent="0.25">
      <c r="I230" s="88"/>
    </row>
    <row r="231" spans="9:9" x14ac:dyDescent="0.25">
      <c r="I231" s="88"/>
    </row>
    <row r="232" spans="9:9" x14ac:dyDescent="0.25">
      <c r="I232" s="88"/>
    </row>
    <row r="233" spans="9:9" x14ac:dyDescent="0.25">
      <c r="I233" s="88"/>
    </row>
    <row r="234" spans="9:9" x14ac:dyDescent="0.25">
      <c r="I234" s="88"/>
    </row>
    <row r="235" spans="9:9" x14ac:dyDescent="0.25">
      <c r="I235" s="88"/>
    </row>
    <row r="236" spans="9:9" x14ac:dyDescent="0.25">
      <c r="I236" s="88"/>
    </row>
    <row r="237" spans="9:9" x14ac:dyDescent="0.25">
      <c r="I237" s="88"/>
    </row>
    <row r="238" spans="9:9" x14ac:dyDescent="0.25">
      <c r="I238" s="88"/>
    </row>
    <row r="239" spans="9:9" x14ac:dyDescent="0.25">
      <c r="I239" s="88"/>
    </row>
    <row r="240" spans="9:9" x14ac:dyDescent="0.25">
      <c r="I240" s="88"/>
    </row>
    <row r="241" spans="9:9" x14ac:dyDescent="0.25">
      <c r="I241" s="88"/>
    </row>
    <row r="242" spans="9:9" x14ac:dyDescent="0.25">
      <c r="I242" s="88"/>
    </row>
    <row r="243" spans="9:9" x14ac:dyDescent="0.25">
      <c r="I243" s="88"/>
    </row>
    <row r="244" spans="9:9" x14ac:dyDescent="0.25">
      <c r="I244" s="88"/>
    </row>
    <row r="245" spans="9:9" x14ac:dyDescent="0.25">
      <c r="I245" s="88"/>
    </row>
    <row r="246" spans="9:9" x14ac:dyDescent="0.25">
      <c r="I246" s="88"/>
    </row>
    <row r="247" spans="9:9" x14ac:dyDescent="0.25">
      <c r="I247" s="88"/>
    </row>
    <row r="248" spans="9:9" x14ac:dyDescent="0.25">
      <c r="I248" s="88"/>
    </row>
    <row r="249" spans="9:9" x14ac:dyDescent="0.25">
      <c r="I249" s="88"/>
    </row>
    <row r="250" spans="9:9" x14ac:dyDescent="0.25">
      <c r="I250" s="88"/>
    </row>
    <row r="251" spans="9:9" x14ac:dyDescent="0.25">
      <c r="I251" s="88"/>
    </row>
    <row r="252" spans="9:9" x14ac:dyDescent="0.25">
      <c r="I252" s="88"/>
    </row>
    <row r="253" spans="9:9" x14ac:dyDescent="0.25">
      <c r="I253" s="88"/>
    </row>
    <row r="254" spans="9:9" x14ac:dyDescent="0.25">
      <c r="I254" s="88"/>
    </row>
    <row r="255" spans="9:9" x14ac:dyDescent="0.25">
      <c r="I255" s="88"/>
    </row>
    <row r="256" spans="9:9" x14ac:dyDescent="0.25">
      <c r="I256" s="88"/>
    </row>
    <row r="257" spans="9:9" x14ac:dyDescent="0.25">
      <c r="I257" s="88"/>
    </row>
    <row r="258" spans="9:9" x14ac:dyDescent="0.25">
      <c r="I258" s="88"/>
    </row>
    <row r="259" spans="9:9" x14ac:dyDescent="0.25">
      <c r="I259" s="88"/>
    </row>
    <row r="260" spans="9:9" x14ac:dyDescent="0.25">
      <c r="I260" s="88"/>
    </row>
    <row r="261" spans="9:9" x14ac:dyDescent="0.25">
      <c r="I261" s="88"/>
    </row>
    <row r="262" spans="9:9" x14ac:dyDescent="0.25">
      <c r="I262" s="88"/>
    </row>
    <row r="263" spans="9:9" x14ac:dyDescent="0.25">
      <c r="I263" s="88"/>
    </row>
    <row r="264" spans="9:9" x14ac:dyDescent="0.25">
      <c r="I264" s="88"/>
    </row>
    <row r="265" spans="9:9" x14ac:dyDescent="0.25">
      <c r="I265" s="88"/>
    </row>
    <row r="266" spans="9:9" x14ac:dyDescent="0.25">
      <c r="I266" s="88"/>
    </row>
    <row r="267" spans="9:9" x14ac:dyDescent="0.25">
      <c r="I267" s="88"/>
    </row>
    <row r="268" spans="9:9" x14ac:dyDescent="0.25">
      <c r="I268" s="88"/>
    </row>
    <row r="269" spans="9:9" x14ac:dyDescent="0.25">
      <c r="I269" s="88"/>
    </row>
    <row r="270" spans="9:9" x14ac:dyDescent="0.25">
      <c r="I270" s="88"/>
    </row>
    <row r="271" spans="9:9" x14ac:dyDescent="0.25">
      <c r="I271" s="88"/>
    </row>
    <row r="272" spans="9:9" x14ac:dyDescent="0.25">
      <c r="I272" s="88"/>
    </row>
    <row r="273" spans="9:9" x14ac:dyDescent="0.25">
      <c r="I273" s="88"/>
    </row>
    <row r="274" spans="9:9" x14ac:dyDescent="0.25">
      <c r="I274" s="88"/>
    </row>
    <row r="275" spans="9:9" x14ac:dyDescent="0.25">
      <c r="I275" s="88"/>
    </row>
    <row r="276" spans="9:9" x14ac:dyDescent="0.25">
      <c r="I276" s="88"/>
    </row>
    <row r="277" spans="9:9" x14ac:dyDescent="0.25">
      <c r="I277" s="88"/>
    </row>
    <row r="278" spans="9:9" x14ac:dyDescent="0.25">
      <c r="I278" s="88"/>
    </row>
    <row r="279" spans="9:9" x14ac:dyDescent="0.25">
      <c r="I279" s="88"/>
    </row>
    <row r="280" spans="9:9" x14ac:dyDescent="0.25">
      <c r="I280" s="88"/>
    </row>
    <row r="281" spans="9:9" x14ac:dyDescent="0.25">
      <c r="I281" s="88"/>
    </row>
    <row r="282" spans="9:9" x14ac:dyDescent="0.25">
      <c r="I282" s="88"/>
    </row>
    <row r="283" spans="9:9" x14ac:dyDescent="0.25">
      <c r="I283" s="88"/>
    </row>
    <row r="284" spans="9:9" x14ac:dyDescent="0.25">
      <c r="I284" s="88"/>
    </row>
    <row r="285" spans="9:9" x14ac:dyDescent="0.25">
      <c r="I285" s="88"/>
    </row>
    <row r="286" spans="9:9" x14ac:dyDescent="0.25">
      <c r="I286" s="88"/>
    </row>
    <row r="287" spans="9:9" x14ac:dyDescent="0.25">
      <c r="I287" s="88"/>
    </row>
    <row r="288" spans="9:9" x14ac:dyDescent="0.25">
      <c r="I288" s="88"/>
    </row>
    <row r="289" spans="9:9" x14ac:dyDescent="0.25">
      <c r="I289" s="88"/>
    </row>
    <row r="290" spans="9:9" x14ac:dyDescent="0.25">
      <c r="I290" s="88"/>
    </row>
    <row r="291" spans="9:9" x14ac:dyDescent="0.25">
      <c r="I291" s="88"/>
    </row>
    <row r="292" spans="9:9" x14ac:dyDescent="0.25">
      <c r="I292" s="88"/>
    </row>
    <row r="293" spans="9:9" x14ac:dyDescent="0.25">
      <c r="I293" s="88"/>
    </row>
    <row r="294" spans="9:9" x14ac:dyDescent="0.25">
      <c r="I294" s="88"/>
    </row>
    <row r="295" spans="9:9" x14ac:dyDescent="0.25">
      <c r="I295" s="88"/>
    </row>
    <row r="296" spans="9:9" x14ac:dyDescent="0.25">
      <c r="I296" s="88"/>
    </row>
    <row r="297" spans="9:9" x14ac:dyDescent="0.25">
      <c r="I297" s="88"/>
    </row>
    <row r="298" spans="9:9" x14ac:dyDescent="0.25">
      <c r="I298" s="88"/>
    </row>
    <row r="299" spans="9:9" x14ac:dyDescent="0.25">
      <c r="I299" s="88"/>
    </row>
    <row r="300" spans="9:9" x14ac:dyDescent="0.25">
      <c r="I300" s="88"/>
    </row>
    <row r="301" spans="9:9" x14ac:dyDescent="0.25">
      <c r="I301" s="88"/>
    </row>
    <row r="302" spans="9:9" x14ac:dyDescent="0.25">
      <c r="I302" s="88"/>
    </row>
    <row r="303" spans="9:9" x14ac:dyDescent="0.25">
      <c r="I303" s="88"/>
    </row>
    <row r="304" spans="9:9" x14ac:dyDescent="0.25">
      <c r="I304" s="88"/>
    </row>
    <row r="305" spans="9:9" x14ac:dyDescent="0.25">
      <c r="I305" s="88"/>
    </row>
    <row r="306" spans="9:9" x14ac:dyDescent="0.25">
      <c r="I306" s="88"/>
    </row>
    <row r="307" spans="9:9" x14ac:dyDescent="0.25">
      <c r="I307" s="88"/>
    </row>
    <row r="308" spans="9:9" x14ac:dyDescent="0.25">
      <c r="I308" s="88"/>
    </row>
    <row r="309" spans="9:9" x14ac:dyDescent="0.25">
      <c r="I309" s="88"/>
    </row>
    <row r="310" spans="9:9" x14ac:dyDescent="0.25">
      <c r="I310" s="88"/>
    </row>
    <row r="311" spans="9:9" x14ac:dyDescent="0.25">
      <c r="I311" s="88"/>
    </row>
    <row r="312" spans="9:9" x14ac:dyDescent="0.25">
      <c r="I312" s="88"/>
    </row>
    <row r="313" spans="9:9" x14ac:dyDescent="0.25">
      <c r="I313" s="88"/>
    </row>
    <row r="314" spans="9:9" x14ac:dyDescent="0.25">
      <c r="I314" s="88"/>
    </row>
    <row r="315" spans="9:9" x14ac:dyDescent="0.25">
      <c r="I315" s="88"/>
    </row>
    <row r="316" spans="9:9" x14ac:dyDescent="0.25">
      <c r="I316" s="88"/>
    </row>
    <row r="317" spans="9:9" x14ac:dyDescent="0.25">
      <c r="I317" s="88"/>
    </row>
    <row r="318" spans="9:9" x14ac:dyDescent="0.25">
      <c r="I318" s="88"/>
    </row>
    <row r="319" spans="9:9" x14ac:dyDescent="0.25">
      <c r="I319" s="88"/>
    </row>
    <row r="320" spans="9:9" x14ac:dyDescent="0.25">
      <c r="I320" s="88"/>
    </row>
    <row r="321" spans="9:9" x14ac:dyDescent="0.25">
      <c r="I321" s="88"/>
    </row>
    <row r="322" spans="9:9" x14ac:dyDescent="0.25">
      <c r="I322" s="88"/>
    </row>
    <row r="323" spans="9:9" x14ac:dyDescent="0.25">
      <c r="I323" s="88"/>
    </row>
    <row r="324" spans="9:9" x14ac:dyDescent="0.25">
      <c r="I324" s="88"/>
    </row>
    <row r="325" spans="9:9" x14ac:dyDescent="0.25">
      <c r="I325" s="88"/>
    </row>
    <row r="326" spans="9:9" x14ac:dyDescent="0.25">
      <c r="I326" s="88"/>
    </row>
    <row r="327" spans="9:9" x14ac:dyDescent="0.25">
      <c r="I327" s="88"/>
    </row>
    <row r="328" spans="9:9" x14ac:dyDescent="0.25">
      <c r="I328" s="88"/>
    </row>
    <row r="329" spans="9:9" x14ac:dyDescent="0.25">
      <c r="I329" s="88"/>
    </row>
    <row r="330" spans="9:9" x14ac:dyDescent="0.25">
      <c r="I330" s="88"/>
    </row>
    <row r="331" spans="9:9" x14ac:dyDescent="0.25">
      <c r="I331" s="88"/>
    </row>
    <row r="332" spans="9:9" x14ac:dyDescent="0.25">
      <c r="I332" s="88"/>
    </row>
    <row r="333" spans="9:9" x14ac:dyDescent="0.25">
      <c r="I333" s="88"/>
    </row>
    <row r="334" spans="9:9" x14ac:dyDescent="0.25">
      <c r="I334" s="88"/>
    </row>
    <row r="335" spans="9:9" x14ac:dyDescent="0.25">
      <c r="I335" s="88"/>
    </row>
    <row r="336" spans="9:9" x14ac:dyDescent="0.25">
      <c r="I336" s="88"/>
    </row>
    <row r="337" spans="9:9" x14ac:dyDescent="0.25">
      <c r="I337" s="88"/>
    </row>
    <row r="338" spans="9:9" x14ac:dyDescent="0.25">
      <c r="I338" s="88"/>
    </row>
    <row r="339" spans="9:9" x14ac:dyDescent="0.25">
      <c r="I339" s="88"/>
    </row>
    <row r="340" spans="9:9" x14ac:dyDescent="0.25">
      <c r="I340" s="88"/>
    </row>
    <row r="341" spans="9:9" x14ac:dyDescent="0.25">
      <c r="I341" s="88"/>
    </row>
    <row r="342" spans="9:9" x14ac:dyDescent="0.25">
      <c r="I342" s="88"/>
    </row>
    <row r="343" spans="9:9" x14ac:dyDescent="0.25">
      <c r="I343" s="88"/>
    </row>
    <row r="344" spans="9:9" x14ac:dyDescent="0.25">
      <c r="I344" s="88"/>
    </row>
    <row r="345" spans="9:9" x14ac:dyDescent="0.25">
      <c r="I345" s="88"/>
    </row>
    <row r="346" spans="9:9" x14ac:dyDescent="0.25">
      <c r="I346" s="88"/>
    </row>
    <row r="347" spans="9:9" x14ac:dyDescent="0.25">
      <c r="I347" s="88"/>
    </row>
    <row r="348" spans="9:9" x14ac:dyDescent="0.25">
      <c r="I348" s="88"/>
    </row>
    <row r="349" spans="9:9" x14ac:dyDescent="0.25">
      <c r="I349" s="88"/>
    </row>
    <row r="350" spans="9:9" x14ac:dyDescent="0.25">
      <c r="I350" s="88"/>
    </row>
    <row r="351" spans="9:9" x14ac:dyDescent="0.25">
      <c r="I351" s="88"/>
    </row>
    <row r="352" spans="9:9" x14ac:dyDescent="0.25">
      <c r="I352" s="88"/>
    </row>
    <row r="353" spans="9:9" x14ac:dyDescent="0.25">
      <c r="I353" s="88"/>
    </row>
    <row r="354" spans="9:9" x14ac:dyDescent="0.25">
      <c r="I354" s="88"/>
    </row>
    <row r="355" spans="9:9" x14ac:dyDescent="0.25">
      <c r="I355" s="88"/>
    </row>
    <row r="356" spans="9:9" x14ac:dyDescent="0.25">
      <c r="I356" s="88"/>
    </row>
    <row r="357" spans="9:9" x14ac:dyDescent="0.25">
      <c r="I357" s="88"/>
    </row>
    <row r="358" spans="9:9" x14ac:dyDescent="0.25">
      <c r="I358" s="88"/>
    </row>
    <row r="359" spans="9:9" x14ac:dyDescent="0.25">
      <c r="I359" s="88"/>
    </row>
    <row r="360" spans="9:9" x14ac:dyDescent="0.25">
      <c r="I360" s="88"/>
    </row>
    <row r="361" spans="9:9" x14ac:dyDescent="0.25">
      <c r="I361" s="88"/>
    </row>
    <row r="362" spans="9:9" x14ac:dyDescent="0.25">
      <c r="I362" s="88"/>
    </row>
    <row r="363" spans="9:9" x14ac:dyDescent="0.25">
      <c r="I363" s="88"/>
    </row>
    <row r="364" spans="9:9" x14ac:dyDescent="0.25">
      <c r="I364" s="88"/>
    </row>
    <row r="365" spans="9:9" x14ac:dyDescent="0.25">
      <c r="I365" s="88"/>
    </row>
    <row r="366" spans="9:9" x14ac:dyDescent="0.25">
      <c r="I366" s="88"/>
    </row>
    <row r="367" spans="9:9" x14ac:dyDescent="0.25">
      <c r="I367" s="88"/>
    </row>
    <row r="368" spans="9:9" x14ac:dyDescent="0.25">
      <c r="I368" s="88"/>
    </row>
    <row r="369" spans="9:9" x14ac:dyDescent="0.25">
      <c r="I369" s="88"/>
    </row>
    <row r="370" spans="9:9" x14ac:dyDescent="0.25">
      <c r="I370" s="88"/>
    </row>
    <row r="371" spans="9:9" x14ac:dyDescent="0.25">
      <c r="I371" s="88"/>
    </row>
    <row r="372" spans="9:9" x14ac:dyDescent="0.25">
      <c r="I372" s="88"/>
    </row>
    <row r="373" spans="9:9" x14ac:dyDescent="0.25">
      <c r="I373" s="88"/>
    </row>
    <row r="374" spans="9:9" x14ac:dyDescent="0.25">
      <c r="I374" s="88"/>
    </row>
    <row r="375" spans="9:9" x14ac:dyDescent="0.25">
      <c r="I375" s="88"/>
    </row>
    <row r="376" spans="9:9" x14ac:dyDescent="0.25">
      <c r="I376" s="88"/>
    </row>
    <row r="377" spans="9:9" x14ac:dyDescent="0.25">
      <c r="I377" s="88"/>
    </row>
    <row r="378" spans="9:9" x14ac:dyDescent="0.25">
      <c r="I378" s="88"/>
    </row>
    <row r="379" spans="9:9" x14ac:dyDescent="0.25">
      <c r="I379" s="88"/>
    </row>
    <row r="380" spans="9:9" x14ac:dyDescent="0.25">
      <c r="I380" s="88"/>
    </row>
    <row r="381" spans="9:9" x14ac:dyDescent="0.25">
      <c r="I381" s="88"/>
    </row>
    <row r="382" spans="9:9" x14ac:dyDescent="0.25">
      <c r="I382" s="88"/>
    </row>
    <row r="383" spans="9:9" x14ac:dyDescent="0.25">
      <c r="I383" s="88"/>
    </row>
    <row r="384" spans="9:9" x14ac:dyDescent="0.25">
      <c r="I384" s="88"/>
    </row>
    <row r="385" spans="9:9" x14ac:dyDescent="0.25">
      <c r="I385" s="88"/>
    </row>
    <row r="386" spans="9:9" x14ac:dyDescent="0.25">
      <c r="I386" s="88"/>
    </row>
    <row r="387" spans="9:9" x14ac:dyDescent="0.25">
      <c r="I387" s="88"/>
    </row>
    <row r="388" spans="9:9" x14ac:dyDescent="0.25">
      <c r="I388" s="88"/>
    </row>
    <row r="389" spans="9:9" x14ac:dyDescent="0.25">
      <c r="I389" s="88"/>
    </row>
    <row r="390" spans="9:9" x14ac:dyDescent="0.25">
      <c r="I390" s="88"/>
    </row>
    <row r="391" spans="9:9" x14ac:dyDescent="0.25">
      <c r="I391" s="88"/>
    </row>
    <row r="392" spans="9:9" x14ac:dyDescent="0.25">
      <c r="I392" s="88"/>
    </row>
    <row r="393" spans="9:9" x14ac:dyDescent="0.25">
      <c r="I393" s="88"/>
    </row>
    <row r="394" spans="9:9" x14ac:dyDescent="0.25">
      <c r="I394" s="88"/>
    </row>
    <row r="395" spans="9:9" x14ac:dyDescent="0.25">
      <c r="I395" s="88"/>
    </row>
    <row r="396" spans="9:9" x14ac:dyDescent="0.25">
      <c r="I396" s="88"/>
    </row>
    <row r="397" spans="9:9" x14ac:dyDescent="0.25">
      <c r="I397" s="88"/>
    </row>
    <row r="398" spans="9:9" x14ac:dyDescent="0.25">
      <c r="I398" s="88"/>
    </row>
    <row r="399" spans="9:9" x14ac:dyDescent="0.25">
      <c r="I399" s="88"/>
    </row>
    <row r="400" spans="9:9" x14ac:dyDescent="0.25">
      <c r="I400" s="88"/>
    </row>
    <row r="401" spans="9:9" x14ac:dyDescent="0.25">
      <c r="I401" s="88"/>
    </row>
    <row r="402" spans="9:9" x14ac:dyDescent="0.25">
      <c r="I402" s="88"/>
    </row>
    <row r="403" spans="9:9" x14ac:dyDescent="0.25">
      <c r="I403" s="88"/>
    </row>
    <row r="404" spans="9:9" x14ac:dyDescent="0.25">
      <c r="I404" s="88"/>
    </row>
    <row r="405" spans="9:9" x14ac:dyDescent="0.25">
      <c r="I405" s="88"/>
    </row>
    <row r="406" spans="9:9" x14ac:dyDescent="0.25">
      <c r="I406" s="88"/>
    </row>
    <row r="407" spans="9:9" x14ac:dyDescent="0.25">
      <c r="I407" s="88"/>
    </row>
    <row r="408" spans="9:9" x14ac:dyDescent="0.25">
      <c r="I408" s="88"/>
    </row>
    <row r="409" spans="9:9" x14ac:dyDescent="0.25">
      <c r="I409" s="88"/>
    </row>
    <row r="410" spans="9:9" x14ac:dyDescent="0.25">
      <c r="I410" s="88"/>
    </row>
    <row r="411" spans="9:9" x14ac:dyDescent="0.25">
      <c r="I411" s="88"/>
    </row>
    <row r="412" spans="9:9" x14ac:dyDescent="0.25">
      <c r="I412" s="88"/>
    </row>
    <row r="413" spans="9:9" x14ac:dyDescent="0.25">
      <c r="I413" s="88"/>
    </row>
    <row r="414" spans="9:9" x14ac:dyDescent="0.25">
      <c r="I414" s="88"/>
    </row>
    <row r="415" spans="9:9" x14ac:dyDescent="0.25">
      <c r="I415" s="88"/>
    </row>
    <row r="416" spans="9:9" x14ac:dyDescent="0.25">
      <c r="I416" s="88"/>
    </row>
    <row r="417" spans="9:9" x14ac:dyDescent="0.25">
      <c r="I417" s="88"/>
    </row>
    <row r="418" spans="9:9" x14ac:dyDescent="0.25">
      <c r="I418" s="88"/>
    </row>
    <row r="419" spans="9:9" x14ac:dyDescent="0.25">
      <c r="I419" s="88"/>
    </row>
    <row r="420" spans="9:9" x14ac:dyDescent="0.25">
      <c r="I420" s="88"/>
    </row>
    <row r="421" spans="9:9" x14ac:dyDescent="0.25">
      <c r="I421" s="88"/>
    </row>
    <row r="422" spans="9:9" x14ac:dyDescent="0.25">
      <c r="I422" s="88"/>
    </row>
    <row r="423" spans="9:9" x14ac:dyDescent="0.25">
      <c r="I423" s="88"/>
    </row>
    <row r="424" spans="9:9" x14ac:dyDescent="0.25">
      <c r="I424" s="88"/>
    </row>
    <row r="425" spans="9:9" x14ac:dyDescent="0.25">
      <c r="I425" s="88"/>
    </row>
    <row r="426" spans="9:9" x14ac:dyDescent="0.25">
      <c r="I426" s="88"/>
    </row>
    <row r="427" spans="9:9" x14ac:dyDescent="0.25">
      <c r="I427" s="88"/>
    </row>
    <row r="428" spans="9:9" x14ac:dyDescent="0.25">
      <c r="I428" s="88"/>
    </row>
    <row r="429" spans="9:9" x14ac:dyDescent="0.25">
      <c r="I429" s="88"/>
    </row>
    <row r="430" spans="9:9" x14ac:dyDescent="0.25">
      <c r="I430" s="88"/>
    </row>
    <row r="431" spans="9:9" x14ac:dyDescent="0.25">
      <c r="I431" s="88"/>
    </row>
    <row r="432" spans="9:9" x14ac:dyDescent="0.25">
      <c r="I432" s="88"/>
    </row>
    <row r="433" spans="9:9" x14ac:dyDescent="0.25">
      <c r="I433" s="88"/>
    </row>
    <row r="434" spans="9:9" x14ac:dyDescent="0.25">
      <c r="I434" s="88"/>
    </row>
    <row r="435" spans="9:9" x14ac:dyDescent="0.25">
      <c r="I435" s="88"/>
    </row>
    <row r="436" spans="9:9" x14ac:dyDescent="0.25">
      <c r="I436" s="88"/>
    </row>
    <row r="437" spans="9:9" x14ac:dyDescent="0.25">
      <c r="I437" s="88"/>
    </row>
    <row r="438" spans="9:9" x14ac:dyDescent="0.25">
      <c r="I438" s="88"/>
    </row>
    <row r="439" spans="9:9" x14ac:dyDescent="0.25">
      <c r="I439" s="88"/>
    </row>
    <row r="440" spans="9:9" x14ac:dyDescent="0.25">
      <c r="I440" s="88"/>
    </row>
    <row r="441" spans="9:9" x14ac:dyDescent="0.25">
      <c r="I441" s="88"/>
    </row>
    <row r="442" spans="9:9" x14ac:dyDescent="0.25">
      <c r="I442" s="88"/>
    </row>
    <row r="443" spans="9:9" x14ac:dyDescent="0.25">
      <c r="I443" s="88"/>
    </row>
    <row r="444" spans="9:9" x14ac:dyDescent="0.25">
      <c r="I444" s="88"/>
    </row>
    <row r="445" spans="9:9" x14ac:dyDescent="0.25">
      <c r="I445" s="88"/>
    </row>
    <row r="446" spans="9:9" x14ac:dyDescent="0.25">
      <c r="I446" s="88"/>
    </row>
    <row r="447" spans="9:9" x14ac:dyDescent="0.25">
      <c r="I447" s="88"/>
    </row>
    <row r="448" spans="9:9" x14ac:dyDescent="0.25">
      <c r="I448" s="88"/>
    </row>
    <row r="449" spans="9:9" x14ac:dyDescent="0.25">
      <c r="I449" s="88"/>
    </row>
    <row r="450" spans="9:9" x14ac:dyDescent="0.25">
      <c r="I450" s="88"/>
    </row>
    <row r="451" spans="9:9" x14ac:dyDescent="0.25">
      <c r="I451" s="88"/>
    </row>
    <row r="452" spans="9:9" x14ac:dyDescent="0.25">
      <c r="I452" s="88"/>
    </row>
    <row r="453" spans="9:9" x14ac:dyDescent="0.25">
      <c r="I453" s="88"/>
    </row>
    <row r="454" spans="9:9" x14ac:dyDescent="0.25">
      <c r="I454" s="88"/>
    </row>
    <row r="455" spans="9:9" x14ac:dyDescent="0.25">
      <c r="I455" s="88"/>
    </row>
    <row r="456" spans="9:9" x14ac:dyDescent="0.25">
      <c r="I456" s="88"/>
    </row>
    <row r="457" spans="9:9" x14ac:dyDescent="0.25">
      <c r="I457" s="88"/>
    </row>
    <row r="458" spans="9:9" x14ac:dyDescent="0.25">
      <c r="I458" s="88"/>
    </row>
    <row r="459" spans="9:9" x14ac:dyDescent="0.25">
      <c r="I459" s="88"/>
    </row>
    <row r="460" spans="9:9" x14ac:dyDescent="0.25">
      <c r="I460" s="88"/>
    </row>
    <row r="461" spans="9:9" x14ac:dyDescent="0.25">
      <c r="I461" s="88"/>
    </row>
    <row r="462" spans="9:9" x14ac:dyDescent="0.25">
      <c r="I462" s="88"/>
    </row>
    <row r="463" spans="9:9" x14ac:dyDescent="0.25">
      <c r="I463" s="88"/>
    </row>
    <row r="464" spans="9:9" x14ac:dyDescent="0.25">
      <c r="I464" s="88"/>
    </row>
    <row r="465" spans="9:9" x14ac:dyDescent="0.25">
      <c r="I465" s="88"/>
    </row>
    <row r="466" spans="9:9" x14ac:dyDescent="0.25">
      <c r="I466" s="88"/>
    </row>
    <row r="467" spans="9:9" x14ac:dyDescent="0.25">
      <c r="I467" s="88"/>
    </row>
    <row r="468" spans="9:9" x14ac:dyDescent="0.25">
      <c r="I468" s="88"/>
    </row>
    <row r="469" spans="9:9" x14ac:dyDescent="0.25">
      <c r="I469" s="88"/>
    </row>
    <row r="470" spans="9:9" x14ac:dyDescent="0.25">
      <c r="I470" s="88"/>
    </row>
    <row r="471" spans="9:9" x14ac:dyDescent="0.25">
      <c r="I471" s="88"/>
    </row>
    <row r="472" spans="9:9" x14ac:dyDescent="0.25">
      <c r="I472" s="88"/>
    </row>
    <row r="473" spans="9:9" x14ac:dyDescent="0.25">
      <c r="I473" s="88"/>
    </row>
    <row r="474" spans="9:9" x14ac:dyDescent="0.25">
      <c r="I474" s="88"/>
    </row>
    <row r="475" spans="9:9" x14ac:dyDescent="0.25">
      <c r="I475" s="88"/>
    </row>
    <row r="476" spans="9:9" x14ac:dyDescent="0.25">
      <c r="I476" s="88"/>
    </row>
    <row r="477" spans="9:9" x14ac:dyDescent="0.25">
      <c r="I477" s="88"/>
    </row>
    <row r="478" spans="9:9" x14ac:dyDescent="0.25">
      <c r="I478" s="88"/>
    </row>
    <row r="479" spans="9:9" x14ac:dyDescent="0.25">
      <c r="I479" s="88"/>
    </row>
    <row r="480" spans="9:9" x14ac:dyDescent="0.25">
      <c r="I480" s="88"/>
    </row>
    <row r="481" spans="9:9" x14ac:dyDescent="0.25">
      <c r="I481" s="88"/>
    </row>
    <row r="482" spans="9:9" x14ac:dyDescent="0.25">
      <c r="I482" s="88"/>
    </row>
  </sheetData>
  <mergeCells count="10">
    <mergeCell ref="H6:H7"/>
    <mergeCell ref="A8:G8"/>
    <mergeCell ref="A2:G2"/>
    <mergeCell ref="A4:G4"/>
    <mergeCell ref="A6:A7"/>
    <mergeCell ref="B6:B7"/>
    <mergeCell ref="C6:C7"/>
    <mergeCell ref="D6:D7"/>
    <mergeCell ref="E6:F6"/>
    <mergeCell ref="G6:G7"/>
  </mergeCells>
  <pageMargins left="0.70866141732283472" right="0.70866141732283472" top="0.74803149606299213" bottom="0" header="0.31496062992125984" footer="0.31496062992125984"/>
  <pageSetup paperSize="9" scale="80" fitToHeight="0" orientation="landscape" r:id="rId1"/>
  <rowBreaks count="2" manualBreakCount="2">
    <brk id="48" max="6" man="1"/>
    <brk id="49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0"/>
  <sheetViews>
    <sheetView tabSelected="1" view="pageBreakPreview" zoomScaleNormal="100" zoomScaleSheetLayoutView="100" workbookViewId="0">
      <selection activeCell="G2" sqref="G1:I1048576"/>
    </sheetView>
  </sheetViews>
  <sheetFormatPr defaultRowHeight="15" x14ac:dyDescent="0.25"/>
  <cols>
    <col min="1" max="1" width="7.5703125" style="1" customWidth="1"/>
    <col min="2" max="2" width="62.42578125" style="1" customWidth="1"/>
    <col min="3" max="3" width="14.140625" style="1" customWidth="1"/>
    <col min="4" max="4" width="12.42578125" style="1" customWidth="1"/>
    <col min="5" max="5" width="12.140625" style="1" customWidth="1"/>
    <col min="6" max="6" width="13.85546875" style="1" customWidth="1"/>
    <col min="7" max="7" width="23.7109375" style="10" hidden="1" customWidth="1"/>
    <col min="8" max="8" width="23" style="98" hidden="1" customWidth="1"/>
    <col min="9" max="9" width="22.140625" style="98" hidden="1" customWidth="1"/>
    <col min="10" max="10" width="14.28515625" style="10" customWidth="1"/>
    <col min="11" max="11" width="16.7109375" style="1" hidden="1" customWidth="1"/>
    <col min="12" max="12" width="17.85546875" style="1" customWidth="1"/>
    <col min="13" max="256" width="9.140625" style="1"/>
    <col min="257" max="257" width="7.5703125" style="1" customWidth="1"/>
    <col min="258" max="258" width="62.42578125" style="1" customWidth="1"/>
    <col min="259" max="259" width="14.140625" style="1" customWidth="1"/>
    <col min="260" max="260" width="12.42578125" style="1" customWidth="1"/>
    <col min="261" max="261" width="12.140625" style="1" customWidth="1"/>
    <col min="262" max="262" width="12.28515625" style="1" customWidth="1"/>
    <col min="263" max="263" width="62.7109375" style="1" customWidth="1"/>
    <col min="264" max="264" width="26.42578125" style="1" customWidth="1"/>
    <col min="265" max="265" width="22.7109375" style="1" customWidth="1"/>
    <col min="266" max="266" width="15.5703125" style="1" customWidth="1"/>
    <col min="267" max="267" width="27.28515625" style="1" customWidth="1"/>
    <col min="268" max="268" width="22.28515625" style="1" customWidth="1"/>
    <col min="269" max="512" width="9.140625" style="1"/>
    <col min="513" max="513" width="7.5703125" style="1" customWidth="1"/>
    <col min="514" max="514" width="62.42578125" style="1" customWidth="1"/>
    <col min="515" max="515" width="14.140625" style="1" customWidth="1"/>
    <col min="516" max="516" width="12.42578125" style="1" customWidth="1"/>
    <col min="517" max="517" width="12.140625" style="1" customWidth="1"/>
    <col min="518" max="518" width="12.28515625" style="1" customWidth="1"/>
    <col min="519" max="519" width="62.7109375" style="1" customWidth="1"/>
    <col min="520" max="520" width="26.42578125" style="1" customWidth="1"/>
    <col min="521" max="521" width="22.7109375" style="1" customWidth="1"/>
    <col min="522" max="522" width="15.5703125" style="1" customWidth="1"/>
    <col min="523" max="523" width="27.28515625" style="1" customWidth="1"/>
    <col min="524" max="524" width="22.28515625" style="1" customWidth="1"/>
    <col min="525" max="768" width="9.140625" style="1"/>
    <col min="769" max="769" width="7.5703125" style="1" customWidth="1"/>
    <col min="770" max="770" width="62.42578125" style="1" customWidth="1"/>
    <col min="771" max="771" width="14.140625" style="1" customWidth="1"/>
    <col min="772" max="772" width="12.42578125" style="1" customWidth="1"/>
    <col min="773" max="773" width="12.140625" style="1" customWidth="1"/>
    <col min="774" max="774" width="12.28515625" style="1" customWidth="1"/>
    <col min="775" max="775" width="62.7109375" style="1" customWidth="1"/>
    <col min="776" max="776" width="26.42578125" style="1" customWidth="1"/>
    <col min="777" max="777" width="22.7109375" style="1" customWidth="1"/>
    <col min="778" max="778" width="15.5703125" style="1" customWidth="1"/>
    <col min="779" max="779" width="27.28515625" style="1" customWidth="1"/>
    <col min="780" max="780" width="22.28515625" style="1" customWidth="1"/>
    <col min="781" max="1024" width="9.140625" style="1"/>
    <col min="1025" max="1025" width="7.5703125" style="1" customWidth="1"/>
    <col min="1026" max="1026" width="62.42578125" style="1" customWidth="1"/>
    <col min="1027" max="1027" width="14.140625" style="1" customWidth="1"/>
    <col min="1028" max="1028" width="12.42578125" style="1" customWidth="1"/>
    <col min="1029" max="1029" width="12.140625" style="1" customWidth="1"/>
    <col min="1030" max="1030" width="12.28515625" style="1" customWidth="1"/>
    <col min="1031" max="1031" width="62.7109375" style="1" customWidth="1"/>
    <col min="1032" max="1032" width="26.42578125" style="1" customWidth="1"/>
    <col min="1033" max="1033" width="22.7109375" style="1" customWidth="1"/>
    <col min="1034" max="1034" width="15.5703125" style="1" customWidth="1"/>
    <col min="1035" max="1035" width="27.28515625" style="1" customWidth="1"/>
    <col min="1036" max="1036" width="22.28515625" style="1" customWidth="1"/>
    <col min="1037" max="1280" width="9.140625" style="1"/>
    <col min="1281" max="1281" width="7.5703125" style="1" customWidth="1"/>
    <col min="1282" max="1282" width="62.42578125" style="1" customWidth="1"/>
    <col min="1283" max="1283" width="14.140625" style="1" customWidth="1"/>
    <col min="1284" max="1284" width="12.42578125" style="1" customWidth="1"/>
    <col min="1285" max="1285" width="12.140625" style="1" customWidth="1"/>
    <col min="1286" max="1286" width="12.28515625" style="1" customWidth="1"/>
    <col min="1287" max="1287" width="62.7109375" style="1" customWidth="1"/>
    <col min="1288" max="1288" width="26.42578125" style="1" customWidth="1"/>
    <col min="1289" max="1289" width="22.7109375" style="1" customWidth="1"/>
    <col min="1290" max="1290" width="15.5703125" style="1" customWidth="1"/>
    <col min="1291" max="1291" width="27.28515625" style="1" customWidth="1"/>
    <col min="1292" max="1292" width="22.28515625" style="1" customWidth="1"/>
    <col min="1293" max="1536" width="9.140625" style="1"/>
    <col min="1537" max="1537" width="7.5703125" style="1" customWidth="1"/>
    <col min="1538" max="1538" width="62.42578125" style="1" customWidth="1"/>
    <col min="1539" max="1539" width="14.140625" style="1" customWidth="1"/>
    <col min="1540" max="1540" width="12.42578125" style="1" customWidth="1"/>
    <col min="1541" max="1541" width="12.140625" style="1" customWidth="1"/>
    <col min="1542" max="1542" width="12.28515625" style="1" customWidth="1"/>
    <col min="1543" max="1543" width="62.7109375" style="1" customWidth="1"/>
    <col min="1544" max="1544" width="26.42578125" style="1" customWidth="1"/>
    <col min="1545" max="1545" width="22.7109375" style="1" customWidth="1"/>
    <col min="1546" max="1546" width="15.5703125" style="1" customWidth="1"/>
    <col min="1547" max="1547" width="27.28515625" style="1" customWidth="1"/>
    <col min="1548" max="1548" width="22.28515625" style="1" customWidth="1"/>
    <col min="1549" max="1792" width="9.140625" style="1"/>
    <col min="1793" max="1793" width="7.5703125" style="1" customWidth="1"/>
    <col min="1794" max="1794" width="62.42578125" style="1" customWidth="1"/>
    <col min="1795" max="1795" width="14.140625" style="1" customWidth="1"/>
    <col min="1796" max="1796" width="12.42578125" style="1" customWidth="1"/>
    <col min="1797" max="1797" width="12.140625" style="1" customWidth="1"/>
    <col min="1798" max="1798" width="12.28515625" style="1" customWidth="1"/>
    <col min="1799" max="1799" width="62.7109375" style="1" customWidth="1"/>
    <col min="1800" max="1800" width="26.42578125" style="1" customWidth="1"/>
    <col min="1801" max="1801" width="22.7109375" style="1" customWidth="1"/>
    <col min="1802" max="1802" width="15.5703125" style="1" customWidth="1"/>
    <col min="1803" max="1803" width="27.28515625" style="1" customWidth="1"/>
    <col min="1804" max="1804" width="22.28515625" style="1" customWidth="1"/>
    <col min="1805" max="2048" width="9.140625" style="1"/>
    <col min="2049" max="2049" width="7.5703125" style="1" customWidth="1"/>
    <col min="2050" max="2050" width="62.42578125" style="1" customWidth="1"/>
    <col min="2051" max="2051" width="14.140625" style="1" customWidth="1"/>
    <col min="2052" max="2052" width="12.42578125" style="1" customWidth="1"/>
    <col min="2053" max="2053" width="12.140625" style="1" customWidth="1"/>
    <col min="2054" max="2054" width="12.28515625" style="1" customWidth="1"/>
    <col min="2055" max="2055" width="62.7109375" style="1" customWidth="1"/>
    <col min="2056" max="2056" width="26.42578125" style="1" customWidth="1"/>
    <col min="2057" max="2057" width="22.7109375" style="1" customWidth="1"/>
    <col min="2058" max="2058" width="15.5703125" style="1" customWidth="1"/>
    <col min="2059" max="2059" width="27.28515625" style="1" customWidth="1"/>
    <col min="2060" max="2060" width="22.28515625" style="1" customWidth="1"/>
    <col min="2061" max="2304" width="9.140625" style="1"/>
    <col min="2305" max="2305" width="7.5703125" style="1" customWidth="1"/>
    <col min="2306" max="2306" width="62.42578125" style="1" customWidth="1"/>
    <col min="2307" max="2307" width="14.140625" style="1" customWidth="1"/>
    <col min="2308" max="2308" width="12.42578125" style="1" customWidth="1"/>
    <col min="2309" max="2309" width="12.140625" style="1" customWidth="1"/>
    <col min="2310" max="2310" width="12.28515625" style="1" customWidth="1"/>
    <col min="2311" max="2311" width="62.7109375" style="1" customWidth="1"/>
    <col min="2312" max="2312" width="26.42578125" style="1" customWidth="1"/>
    <col min="2313" max="2313" width="22.7109375" style="1" customWidth="1"/>
    <col min="2314" max="2314" width="15.5703125" style="1" customWidth="1"/>
    <col min="2315" max="2315" width="27.28515625" style="1" customWidth="1"/>
    <col min="2316" max="2316" width="22.28515625" style="1" customWidth="1"/>
    <col min="2317" max="2560" width="9.140625" style="1"/>
    <col min="2561" max="2561" width="7.5703125" style="1" customWidth="1"/>
    <col min="2562" max="2562" width="62.42578125" style="1" customWidth="1"/>
    <col min="2563" max="2563" width="14.140625" style="1" customWidth="1"/>
    <col min="2564" max="2564" width="12.42578125" style="1" customWidth="1"/>
    <col min="2565" max="2565" width="12.140625" style="1" customWidth="1"/>
    <col min="2566" max="2566" width="12.28515625" style="1" customWidth="1"/>
    <col min="2567" max="2567" width="62.7109375" style="1" customWidth="1"/>
    <col min="2568" max="2568" width="26.42578125" style="1" customWidth="1"/>
    <col min="2569" max="2569" width="22.7109375" style="1" customWidth="1"/>
    <col min="2570" max="2570" width="15.5703125" style="1" customWidth="1"/>
    <col min="2571" max="2571" width="27.28515625" style="1" customWidth="1"/>
    <col min="2572" max="2572" width="22.28515625" style="1" customWidth="1"/>
    <col min="2573" max="2816" width="9.140625" style="1"/>
    <col min="2817" max="2817" width="7.5703125" style="1" customWidth="1"/>
    <col min="2818" max="2818" width="62.42578125" style="1" customWidth="1"/>
    <col min="2819" max="2819" width="14.140625" style="1" customWidth="1"/>
    <col min="2820" max="2820" width="12.42578125" style="1" customWidth="1"/>
    <col min="2821" max="2821" width="12.140625" style="1" customWidth="1"/>
    <col min="2822" max="2822" width="12.28515625" style="1" customWidth="1"/>
    <col min="2823" max="2823" width="62.7109375" style="1" customWidth="1"/>
    <col min="2824" max="2824" width="26.42578125" style="1" customWidth="1"/>
    <col min="2825" max="2825" width="22.7109375" style="1" customWidth="1"/>
    <col min="2826" max="2826" width="15.5703125" style="1" customWidth="1"/>
    <col min="2827" max="2827" width="27.28515625" style="1" customWidth="1"/>
    <col min="2828" max="2828" width="22.28515625" style="1" customWidth="1"/>
    <col min="2829" max="3072" width="9.140625" style="1"/>
    <col min="3073" max="3073" width="7.5703125" style="1" customWidth="1"/>
    <col min="3074" max="3074" width="62.42578125" style="1" customWidth="1"/>
    <col min="3075" max="3075" width="14.140625" style="1" customWidth="1"/>
    <col min="3076" max="3076" width="12.42578125" style="1" customWidth="1"/>
    <col min="3077" max="3077" width="12.140625" style="1" customWidth="1"/>
    <col min="3078" max="3078" width="12.28515625" style="1" customWidth="1"/>
    <col min="3079" max="3079" width="62.7109375" style="1" customWidth="1"/>
    <col min="3080" max="3080" width="26.42578125" style="1" customWidth="1"/>
    <col min="3081" max="3081" width="22.7109375" style="1" customWidth="1"/>
    <col min="3082" max="3082" width="15.5703125" style="1" customWidth="1"/>
    <col min="3083" max="3083" width="27.28515625" style="1" customWidth="1"/>
    <col min="3084" max="3084" width="22.28515625" style="1" customWidth="1"/>
    <col min="3085" max="3328" width="9.140625" style="1"/>
    <col min="3329" max="3329" width="7.5703125" style="1" customWidth="1"/>
    <col min="3330" max="3330" width="62.42578125" style="1" customWidth="1"/>
    <col min="3331" max="3331" width="14.140625" style="1" customWidth="1"/>
    <col min="3332" max="3332" width="12.42578125" style="1" customWidth="1"/>
    <col min="3333" max="3333" width="12.140625" style="1" customWidth="1"/>
    <col min="3334" max="3334" width="12.28515625" style="1" customWidth="1"/>
    <col min="3335" max="3335" width="62.7109375" style="1" customWidth="1"/>
    <col min="3336" max="3336" width="26.42578125" style="1" customWidth="1"/>
    <col min="3337" max="3337" width="22.7109375" style="1" customWidth="1"/>
    <col min="3338" max="3338" width="15.5703125" style="1" customWidth="1"/>
    <col min="3339" max="3339" width="27.28515625" style="1" customWidth="1"/>
    <col min="3340" max="3340" width="22.28515625" style="1" customWidth="1"/>
    <col min="3341" max="3584" width="9.140625" style="1"/>
    <col min="3585" max="3585" width="7.5703125" style="1" customWidth="1"/>
    <col min="3586" max="3586" width="62.42578125" style="1" customWidth="1"/>
    <col min="3587" max="3587" width="14.140625" style="1" customWidth="1"/>
    <col min="3588" max="3588" width="12.42578125" style="1" customWidth="1"/>
    <col min="3589" max="3589" width="12.140625" style="1" customWidth="1"/>
    <col min="3590" max="3590" width="12.28515625" style="1" customWidth="1"/>
    <col min="3591" max="3591" width="62.7109375" style="1" customWidth="1"/>
    <col min="3592" max="3592" width="26.42578125" style="1" customWidth="1"/>
    <col min="3593" max="3593" width="22.7109375" style="1" customWidth="1"/>
    <col min="3594" max="3594" width="15.5703125" style="1" customWidth="1"/>
    <col min="3595" max="3595" width="27.28515625" style="1" customWidth="1"/>
    <col min="3596" max="3596" width="22.28515625" style="1" customWidth="1"/>
    <col min="3597" max="3840" width="9.140625" style="1"/>
    <col min="3841" max="3841" width="7.5703125" style="1" customWidth="1"/>
    <col min="3842" max="3842" width="62.42578125" style="1" customWidth="1"/>
    <col min="3843" max="3843" width="14.140625" style="1" customWidth="1"/>
    <col min="3844" max="3844" width="12.42578125" style="1" customWidth="1"/>
    <col min="3845" max="3845" width="12.140625" style="1" customWidth="1"/>
    <col min="3846" max="3846" width="12.28515625" style="1" customWidth="1"/>
    <col min="3847" max="3847" width="62.7109375" style="1" customWidth="1"/>
    <col min="3848" max="3848" width="26.42578125" style="1" customWidth="1"/>
    <col min="3849" max="3849" width="22.7109375" style="1" customWidth="1"/>
    <col min="3850" max="3850" width="15.5703125" style="1" customWidth="1"/>
    <col min="3851" max="3851" width="27.28515625" style="1" customWidth="1"/>
    <col min="3852" max="3852" width="22.28515625" style="1" customWidth="1"/>
    <col min="3853" max="4096" width="9.140625" style="1"/>
    <col min="4097" max="4097" width="7.5703125" style="1" customWidth="1"/>
    <col min="4098" max="4098" width="62.42578125" style="1" customWidth="1"/>
    <col min="4099" max="4099" width="14.140625" style="1" customWidth="1"/>
    <col min="4100" max="4100" width="12.42578125" style="1" customWidth="1"/>
    <col min="4101" max="4101" width="12.140625" style="1" customWidth="1"/>
    <col min="4102" max="4102" width="12.28515625" style="1" customWidth="1"/>
    <col min="4103" max="4103" width="62.7109375" style="1" customWidth="1"/>
    <col min="4104" max="4104" width="26.42578125" style="1" customWidth="1"/>
    <col min="4105" max="4105" width="22.7109375" style="1" customWidth="1"/>
    <col min="4106" max="4106" width="15.5703125" style="1" customWidth="1"/>
    <col min="4107" max="4107" width="27.28515625" style="1" customWidth="1"/>
    <col min="4108" max="4108" width="22.28515625" style="1" customWidth="1"/>
    <col min="4109" max="4352" width="9.140625" style="1"/>
    <col min="4353" max="4353" width="7.5703125" style="1" customWidth="1"/>
    <col min="4354" max="4354" width="62.42578125" style="1" customWidth="1"/>
    <col min="4355" max="4355" width="14.140625" style="1" customWidth="1"/>
    <col min="4356" max="4356" width="12.42578125" style="1" customWidth="1"/>
    <col min="4357" max="4357" width="12.140625" style="1" customWidth="1"/>
    <col min="4358" max="4358" width="12.28515625" style="1" customWidth="1"/>
    <col min="4359" max="4359" width="62.7109375" style="1" customWidth="1"/>
    <col min="4360" max="4360" width="26.42578125" style="1" customWidth="1"/>
    <col min="4361" max="4361" width="22.7109375" style="1" customWidth="1"/>
    <col min="4362" max="4362" width="15.5703125" style="1" customWidth="1"/>
    <col min="4363" max="4363" width="27.28515625" style="1" customWidth="1"/>
    <col min="4364" max="4364" width="22.28515625" style="1" customWidth="1"/>
    <col min="4365" max="4608" width="9.140625" style="1"/>
    <col min="4609" max="4609" width="7.5703125" style="1" customWidth="1"/>
    <col min="4610" max="4610" width="62.42578125" style="1" customWidth="1"/>
    <col min="4611" max="4611" width="14.140625" style="1" customWidth="1"/>
    <col min="4612" max="4612" width="12.42578125" style="1" customWidth="1"/>
    <col min="4613" max="4613" width="12.140625" style="1" customWidth="1"/>
    <col min="4614" max="4614" width="12.28515625" style="1" customWidth="1"/>
    <col min="4615" max="4615" width="62.7109375" style="1" customWidth="1"/>
    <col min="4616" max="4616" width="26.42578125" style="1" customWidth="1"/>
    <col min="4617" max="4617" width="22.7109375" style="1" customWidth="1"/>
    <col min="4618" max="4618" width="15.5703125" style="1" customWidth="1"/>
    <col min="4619" max="4619" width="27.28515625" style="1" customWidth="1"/>
    <col min="4620" max="4620" width="22.28515625" style="1" customWidth="1"/>
    <col min="4621" max="4864" width="9.140625" style="1"/>
    <col min="4865" max="4865" width="7.5703125" style="1" customWidth="1"/>
    <col min="4866" max="4866" width="62.42578125" style="1" customWidth="1"/>
    <col min="4867" max="4867" width="14.140625" style="1" customWidth="1"/>
    <col min="4868" max="4868" width="12.42578125" style="1" customWidth="1"/>
    <col min="4869" max="4869" width="12.140625" style="1" customWidth="1"/>
    <col min="4870" max="4870" width="12.28515625" style="1" customWidth="1"/>
    <col min="4871" max="4871" width="62.7109375" style="1" customWidth="1"/>
    <col min="4872" max="4872" width="26.42578125" style="1" customWidth="1"/>
    <col min="4873" max="4873" width="22.7109375" style="1" customWidth="1"/>
    <col min="4874" max="4874" width="15.5703125" style="1" customWidth="1"/>
    <col min="4875" max="4875" width="27.28515625" style="1" customWidth="1"/>
    <col min="4876" max="4876" width="22.28515625" style="1" customWidth="1"/>
    <col min="4877" max="5120" width="9.140625" style="1"/>
    <col min="5121" max="5121" width="7.5703125" style="1" customWidth="1"/>
    <col min="5122" max="5122" width="62.42578125" style="1" customWidth="1"/>
    <col min="5123" max="5123" width="14.140625" style="1" customWidth="1"/>
    <col min="5124" max="5124" width="12.42578125" style="1" customWidth="1"/>
    <col min="5125" max="5125" width="12.140625" style="1" customWidth="1"/>
    <col min="5126" max="5126" width="12.28515625" style="1" customWidth="1"/>
    <col min="5127" max="5127" width="62.7109375" style="1" customWidth="1"/>
    <col min="5128" max="5128" width="26.42578125" style="1" customWidth="1"/>
    <col min="5129" max="5129" width="22.7109375" style="1" customWidth="1"/>
    <col min="5130" max="5130" width="15.5703125" style="1" customWidth="1"/>
    <col min="5131" max="5131" width="27.28515625" style="1" customWidth="1"/>
    <col min="5132" max="5132" width="22.28515625" style="1" customWidth="1"/>
    <col min="5133" max="5376" width="9.140625" style="1"/>
    <col min="5377" max="5377" width="7.5703125" style="1" customWidth="1"/>
    <col min="5378" max="5378" width="62.42578125" style="1" customWidth="1"/>
    <col min="5379" max="5379" width="14.140625" style="1" customWidth="1"/>
    <col min="5380" max="5380" width="12.42578125" style="1" customWidth="1"/>
    <col min="5381" max="5381" width="12.140625" style="1" customWidth="1"/>
    <col min="5382" max="5382" width="12.28515625" style="1" customWidth="1"/>
    <col min="5383" max="5383" width="62.7109375" style="1" customWidth="1"/>
    <col min="5384" max="5384" width="26.42578125" style="1" customWidth="1"/>
    <col min="5385" max="5385" width="22.7109375" style="1" customWidth="1"/>
    <col min="5386" max="5386" width="15.5703125" style="1" customWidth="1"/>
    <col min="5387" max="5387" width="27.28515625" style="1" customWidth="1"/>
    <col min="5388" max="5388" width="22.28515625" style="1" customWidth="1"/>
    <col min="5389" max="5632" width="9.140625" style="1"/>
    <col min="5633" max="5633" width="7.5703125" style="1" customWidth="1"/>
    <col min="5634" max="5634" width="62.42578125" style="1" customWidth="1"/>
    <col min="5635" max="5635" width="14.140625" style="1" customWidth="1"/>
    <col min="5636" max="5636" width="12.42578125" style="1" customWidth="1"/>
    <col min="5637" max="5637" width="12.140625" style="1" customWidth="1"/>
    <col min="5638" max="5638" width="12.28515625" style="1" customWidth="1"/>
    <col min="5639" max="5639" width="62.7109375" style="1" customWidth="1"/>
    <col min="5640" max="5640" width="26.42578125" style="1" customWidth="1"/>
    <col min="5641" max="5641" width="22.7109375" style="1" customWidth="1"/>
    <col min="5642" max="5642" width="15.5703125" style="1" customWidth="1"/>
    <col min="5643" max="5643" width="27.28515625" style="1" customWidth="1"/>
    <col min="5644" max="5644" width="22.28515625" style="1" customWidth="1"/>
    <col min="5645" max="5888" width="9.140625" style="1"/>
    <col min="5889" max="5889" width="7.5703125" style="1" customWidth="1"/>
    <col min="5890" max="5890" width="62.42578125" style="1" customWidth="1"/>
    <col min="5891" max="5891" width="14.140625" style="1" customWidth="1"/>
    <col min="5892" max="5892" width="12.42578125" style="1" customWidth="1"/>
    <col min="5893" max="5893" width="12.140625" style="1" customWidth="1"/>
    <col min="5894" max="5894" width="12.28515625" style="1" customWidth="1"/>
    <col min="5895" max="5895" width="62.7109375" style="1" customWidth="1"/>
    <col min="5896" max="5896" width="26.42578125" style="1" customWidth="1"/>
    <col min="5897" max="5897" width="22.7109375" style="1" customWidth="1"/>
    <col min="5898" max="5898" width="15.5703125" style="1" customWidth="1"/>
    <col min="5899" max="5899" width="27.28515625" style="1" customWidth="1"/>
    <col min="5900" max="5900" width="22.28515625" style="1" customWidth="1"/>
    <col min="5901" max="6144" width="9.140625" style="1"/>
    <col min="6145" max="6145" width="7.5703125" style="1" customWidth="1"/>
    <col min="6146" max="6146" width="62.42578125" style="1" customWidth="1"/>
    <col min="6147" max="6147" width="14.140625" style="1" customWidth="1"/>
    <col min="6148" max="6148" width="12.42578125" style="1" customWidth="1"/>
    <col min="6149" max="6149" width="12.140625" style="1" customWidth="1"/>
    <col min="6150" max="6150" width="12.28515625" style="1" customWidth="1"/>
    <col min="6151" max="6151" width="62.7109375" style="1" customWidth="1"/>
    <col min="6152" max="6152" width="26.42578125" style="1" customWidth="1"/>
    <col min="6153" max="6153" width="22.7109375" style="1" customWidth="1"/>
    <col min="6154" max="6154" width="15.5703125" style="1" customWidth="1"/>
    <col min="6155" max="6155" width="27.28515625" style="1" customWidth="1"/>
    <col min="6156" max="6156" width="22.28515625" style="1" customWidth="1"/>
    <col min="6157" max="6400" width="9.140625" style="1"/>
    <col min="6401" max="6401" width="7.5703125" style="1" customWidth="1"/>
    <col min="6402" max="6402" width="62.42578125" style="1" customWidth="1"/>
    <col min="6403" max="6403" width="14.140625" style="1" customWidth="1"/>
    <col min="6404" max="6404" width="12.42578125" style="1" customWidth="1"/>
    <col min="6405" max="6405" width="12.140625" style="1" customWidth="1"/>
    <col min="6406" max="6406" width="12.28515625" style="1" customWidth="1"/>
    <col min="6407" max="6407" width="62.7109375" style="1" customWidth="1"/>
    <col min="6408" max="6408" width="26.42578125" style="1" customWidth="1"/>
    <col min="6409" max="6409" width="22.7109375" style="1" customWidth="1"/>
    <col min="6410" max="6410" width="15.5703125" style="1" customWidth="1"/>
    <col min="6411" max="6411" width="27.28515625" style="1" customWidth="1"/>
    <col min="6412" max="6412" width="22.28515625" style="1" customWidth="1"/>
    <col min="6413" max="6656" width="9.140625" style="1"/>
    <col min="6657" max="6657" width="7.5703125" style="1" customWidth="1"/>
    <col min="6658" max="6658" width="62.42578125" style="1" customWidth="1"/>
    <col min="6659" max="6659" width="14.140625" style="1" customWidth="1"/>
    <col min="6660" max="6660" width="12.42578125" style="1" customWidth="1"/>
    <col min="6661" max="6661" width="12.140625" style="1" customWidth="1"/>
    <col min="6662" max="6662" width="12.28515625" style="1" customWidth="1"/>
    <col min="6663" max="6663" width="62.7109375" style="1" customWidth="1"/>
    <col min="6664" max="6664" width="26.42578125" style="1" customWidth="1"/>
    <col min="6665" max="6665" width="22.7109375" style="1" customWidth="1"/>
    <col min="6666" max="6666" width="15.5703125" style="1" customWidth="1"/>
    <col min="6667" max="6667" width="27.28515625" style="1" customWidth="1"/>
    <col min="6668" max="6668" width="22.28515625" style="1" customWidth="1"/>
    <col min="6669" max="6912" width="9.140625" style="1"/>
    <col min="6913" max="6913" width="7.5703125" style="1" customWidth="1"/>
    <col min="6914" max="6914" width="62.42578125" style="1" customWidth="1"/>
    <col min="6915" max="6915" width="14.140625" style="1" customWidth="1"/>
    <col min="6916" max="6916" width="12.42578125" style="1" customWidth="1"/>
    <col min="6917" max="6917" width="12.140625" style="1" customWidth="1"/>
    <col min="6918" max="6918" width="12.28515625" style="1" customWidth="1"/>
    <col min="6919" max="6919" width="62.7109375" style="1" customWidth="1"/>
    <col min="6920" max="6920" width="26.42578125" style="1" customWidth="1"/>
    <col min="6921" max="6921" width="22.7109375" style="1" customWidth="1"/>
    <col min="6922" max="6922" width="15.5703125" style="1" customWidth="1"/>
    <col min="6923" max="6923" width="27.28515625" style="1" customWidth="1"/>
    <col min="6924" max="6924" width="22.28515625" style="1" customWidth="1"/>
    <col min="6925" max="7168" width="9.140625" style="1"/>
    <col min="7169" max="7169" width="7.5703125" style="1" customWidth="1"/>
    <col min="7170" max="7170" width="62.42578125" style="1" customWidth="1"/>
    <col min="7171" max="7171" width="14.140625" style="1" customWidth="1"/>
    <col min="7172" max="7172" width="12.42578125" style="1" customWidth="1"/>
    <col min="7173" max="7173" width="12.140625" style="1" customWidth="1"/>
    <col min="7174" max="7174" width="12.28515625" style="1" customWidth="1"/>
    <col min="7175" max="7175" width="62.7109375" style="1" customWidth="1"/>
    <col min="7176" max="7176" width="26.42578125" style="1" customWidth="1"/>
    <col min="7177" max="7177" width="22.7109375" style="1" customWidth="1"/>
    <col min="7178" max="7178" width="15.5703125" style="1" customWidth="1"/>
    <col min="7179" max="7179" width="27.28515625" style="1" customWidth="1"/>
    <col min="7180" max="7180" width="22.28515625" style="1" customWidth="1"/>
    <col min="7181" max="7424" width="9.140625" style="1"/>
    <col min="7425" max="7425" width="7.5703125" style="1" customWidth="1"/>
    <col min="7426" max="7426" width="62.42578125" style="1" customWidth="1"/>
    <col min="7427" max="7427" width="14.140625" style="1" customWidth="1"/>
    <col min="7428" max="7428" width="12.42578125" style="1" customWidth="1"/>
    <col min="7429" max="7429" width="12.140625" style="1" customWidth="1"/>
    <col min="7430" max="7430" width="12.28515625" style="1" customWidth="1"/>
    <col min="7431" max="7431" width="62.7109375" style="1" customWidth="1"/>
    <col min="7432" max="7432" width="26.42578125" style="1" customWidth="1"/>
    <col min="7433" max="7433" width="22.7109375" style="1" customWidth="1"/>
    <col min="7434" max="7434" width="15.5703125" style="1" customWidth="1"/>
    <col min="7435" max="7435" width="27.28515625" style="1" customWidth="1"/>
    <col min="7436" max="7436" width="22.28515625" style="1" customWidth="1"/>
    <col min="7437" max="7680" width="9.140625" style="1"/>
    <col min="7681" max="7681" width="7.5703125" style="1" customWidth="1"/>
    <col min="7682" max="7682" width="62.42578125" style="1" customWidth="1"/>
    <col min="7683" max="7683" width="14.140625" style="1" customWidth="1"/>
    <col min="7684" max="7684" width="12.42578125" style="1" customWidth="1"/>
    <col min="7685" max="7685" width="12.140625" style="1" customWidth="1"/>
    <col min="7686" max="7686" width="12.28515625" style="1" customWidth="1"/>
    <col min="7687" max="7687" width="62.7109375" style="1" customWidth="1"/>
    <col min="7688" max="7688" width="26.42578125" style="1" customWidth="1"/>
    <col min="7689" max="7689" width="22.7109375" style="1" customWidth="1"/>
    <col min="7690" max="7690" width="15.5703125" style="1" customWidth="1"/>
    <col min="7691" max="7691" width="27.28515625" style="1" customWidth="1"/>
    <col min="7692" max="7692" width="22.28515625" style="1" customWidth="1"/>
    <col min="7693" max="7936" width="9.140625" style="1"/>
    <col min="7937" max="7937" width="7.5703125" style="1" customWidth="1"/>
    <col min="7938" max="7938" width="62.42578125" style="1" customWidth="1"/>
    <col min="7939" max="7939" width="14.140625" style="1" customWidth="1"/>
    <col min="7940" max="7940" width="12.42578125" style="1" customWidth="1"/>
    <col min="7941" max="7941" width="12.140625" style="1" customWidth="1"/>
    <col min="7942" max="7942" width="12.28515625" style="1" customWidth="1"/>
    <col min="7943" max="7943" width="62.7109375" style="1" customWidth="1"/>
    <col min="7944" max="7944" width="26.42578125" style="1" customWidth="1"/>
    <col min="7945" max="7945" width="22.7109375" style="1" customWidth="1"/>
    <col min="7946" max="7946" width="15.5703125" style="1" customWidth="1"/>
    <col min="7947" max="7947" width="27.28515625" style="1" customWidth="1"/>
    <col min="7948" max="7948" width="22.28515625" style="1" customWidth="1"/>
    <col min="7949" max="8192" width="9.140625" style="1"/>
    <col min="8193" max="8193" width="7.5703125" style="1" customWidth="1"/>
    <col min="8194" max="8194" width="62.42578125" style="1" customWidth="1"/>
    <col min="8195" max="8195" width="14.140625" style="1" customWidth="1"/>
    <col min="8196" max="8196" width="12.42578125" style="1" customWidth="1"/>
    <col min="8197" max="8197" width="12.140625" style="1" customWidth="1"/>
    <col min="8198" max="8198" width="12.28515625" style="1" customWidth="1"/>
    <col min="8199" max="8199" width="62.7109375" style="1" customWidth="1"/>
    <col min="8200" max="8200" width="26.42578125" style="1" customWidth="1"/>
    <col min="8201" max="8201" width="22.7109375" style="1" customWidth="1"/>
    <col min="8202" max="8202" width="15.5703125" style="1" customWidth="1"/>
    <col min="8203" max="8203" width="27.28515625" style="1" customWidth="1"/>
    <col min="8204" max="8204" width="22.28515625" style="1" customWidth="1"/>
    <col min="8205" max="8448" width="9.140625" style="1"/>
    <col min="8449" max="8449" width="7.5703125" style="1" customWidth="1"/>
    <col min="8450" max="8450" width="62.42578125" style="1" customWidth="1"/>
    <col min="8451" max="8451" width="14.140625" style="1" customWidth="1"/>
    <col min="8452" max="8452" width="12.42578125" style="1" customWidth="1"/>
    <col min="8453" max="8453" width="12.140625" style="1" customWidth="1"/>
    <col min="8454" max="8454" width="12.28515625" style="1" customWidth="1"/>
    <col min="8455" max="8455" width="62.7109375" style="1" customWidth="1"/>
    <col min="8456" max="8456" width="26.42578125" style="1" customWidth="1"/>
    <col min="8457" max="8457" width="22.7109375" style="1" customWidth="1"/>
    <col min="8458" max="8458" width="15.5703125" style="1" customWidth="1"/>
    <col min="8459" max="8459" width="27.28515625" style="1" customWidth="1"/>
    <col min="8460" max="8460" width="22.28515625" style="1" customWidth="1"/>
    <col min="8461" max="8704" width="9.140625" style="1"/>
    <col min="8705" max="8705" width="7.5703125" style="1" customWidth="1"/>
    <col min="8706" max="8706" width="62.42578125" style="1" customWidth="1"/>
    <col min="8707" max="8707" width="14.140625" style="1" customWidth="1"/>
    <col min="8708" max="8708" width="12.42578125" style="1" customWidth="1"/>
    <col min="8709" max="8709" width="12.140625" style="1" customWidth="1"/>
    <col min="8710" max="8710" width="12.28515625" style="1" customWidth="1"/>
    <col min="8711" max="8711" width="62.7109375" style="1" customWidth="1"/>
    <col min="8712" max="8712" width="26.42578125" style="1" customWidth="1"/>
    <col min="8713" max="8713" width="22.7109375" style="1" customWidth="1"/>
    <col min="8714" max="8714" width="15.5703125" style="1" customWidth="1"/>
    <col min="8715" max="8715" width="27.28515625" style="1" customWidth="1"/>
    <col min="8716" max="8716" width="22.28515625" style="1" customWidth="1"/>
    <col min="8717" max="8960" width="9.140625" style="1"/>
    <col min="8961" max="8961" width="7.5703125" style="1" customWidth="1"/>
    <col min="8962" max="8962" width="62.42578125" style="1" customWidth="1"/>
    <col min="8963" max="8963" width="14.140625" style="1" customWidth="1"/>
    <col min="8964" max="8964" width="12.42578125" style="1" customWidth="1"/>
    <col min="8965" max="8965" width="12.140625" style="1" customWidth="1"/>
    <col min="8966" max="8966" width="12.28515625" style="1" customWidth="1"/>
    <col min="8967" max="8967" width="62.7109375" style="1" customWidth="1"/>
    <col min="8968" max="8968" width="26.42578125" style="1" customWidth="1"/>
    <col min="8969" max="8969" width="22.7109375" style="1" customWidth="1"/>
    <col min="8970" max="8970" width="15.5703125" style="1" customWidth="1"/>
    <col min="8971" max="8971" width="27.28515625" style="1" customWidth="1"/>
    <col min="8972" max="8972" width="22.28515625" style="1" customWidth="1"/>
    <col min="8973" max="9216" width="9.140625" style="1"/>
    <col min="9217" max="9217" width="7.5703125" style="1" customWidth="1"/>
    <col min="9218" max="9218" width="62.42578125" style="1" customWidth="1"/>
    <col min="9219" max="9219" width="14.140625" style="1" customWidth="1"/>
    <col min="9220" max="9220" width="12.42578125" style="1" customWidth="1"/>
    <col min="9221" max="9221" width="12.140625" style="1" customWidth="1"/>
    <col min="9222" max="9222" width="12.28515625" style="1" customWidth="1"/>
    <col min="9223" max="9223" width="62.7109375" style="1" customWidth="1"/>
    <col min="9224" max="9224" width="26.42578125" style="1" customWidth="1"/>
    <col min="9225" max="9225" width="22.7109375" style="1" customWidth="1"/>
    <col min="9226" max="9226" width="15.5703125" style="1" customWidth="1"/>
    <col min="9227" max="9227" width="27.28515625" style="1" customWidth="1"/>
    <col min="9228" max="9228" width="22.28515625" style="1" customWidth="1"/>
    <col min="9229" max="9472" width="9.140625" style="1"/>
    <col min="9473" max="9473" width="7.5703125" style="1" customWidth="1"/>
    <col min="9474" max="9474" width="62.42578125" style="1" customWidth="1"/>
    <col min="9475" max="9475" width="14.140625" style="1" customWidth="1"/>
    <col min="9476" max="9476" width="12.42578125" style="1" customWidth="1"/>
    <col min="9477" max="9477" width="12.140625" style="1" customWidth="1"/>
    <col min="9478" max="9478" width="12.28515625" style="1" customWidth="1"/>
    <col min="9479" max="9479" width="62.7109375" style="1" customWidth="1"/>
    <col min="9480" max="9480" width="26.42578125" style="1" customWidth="1"/>
    <col min="9481" max="9481" width="22.7109375" style="1" customWidth="1"/>
    <col min="9482" max="9482" width="15.5703125" style="1" customWidth="1"/>
    <col min="9483" max="9483" width="27.28515625" style="1" customWidth="1"/>
    <col min="9484" max="9484" width="22.28515625" style="1" customWidth="1"/>
    <col min="9485" max="9728" width="9.140625" style="1"/>
    <col min="9729" max="9729" width="7.5703125" style="1" customWidth="1"/>
    <col min="9730" max="9730" width="62.42578125" style="1" customWidth="1"/>
    <col min="9731" max="9731" width="14.140625" style="1" customWidth="1"/>
    <col min="9732" max="9732" width="12.42578125" style="1" customWidth="1"/>
    <col min="9733" max="9733" width="12.140625" style="1" customWidth="1"/>
    <col min="9734" max="9734" width="12.28515625" style="1" customWidth="1"/>
    <col min="9735" max="9735" width="62.7109375" style="1" customWidth="1"/>
    <col min="9736" max="9736" width="26.42578125" style="1" customWidth="1"/>
    <col min="9737" max="9737" width="22.7109375" style="1" customWidth="1"/>
    <col min="9738" max="9738" width="15.5703125" style="1" customWidth="1"/>
    <col min="9739" max="9739" width="27.28515625" style="1" customWidth="1"/>
    <col min="9740" max="9740" width="22.28515625" style="1" customWidth="1"/>
    <col min="9741" max="9984" width="9.140625" style="1"/>
    <col min="9985" max="9985" width="7.5703125" style="1" customWidth="1"/>
    <col min="9986" max="9986" width="62.42578125" style="1" customWidth="1"/>
    <col min="9987" max="9987" width="14.140625" style="1" customWidth="1"/>
    <col min="9988" max="9988" width="12.42578125" style="1" customWidth="1"/>
    <col min="9989" max="9989" width="12.140625" style="1" customWidth="1"/>
    <col min="9990" max="9990" width="12.28515625" style="1" customWidth="1"/>
    <col min="9991" max="9991" width="62.7109375" style="1" customWidth="1"/>
    <col min="9992" max="9992" width="26.42578125" style="1" customWidth="1"/>
    <col min="9993" max="9993" width="22.7109375" style="1" customWidth="1"/>
    <col min="9994" max="9994" width="15.5703125" style="1" customWidth="1"/>
    <col min="9995" max="9995" width="27.28515625" style="1" customWidth="1"/>
    <col min="9996" max="9996" width="22.28515625" style="1" customWidth="1"/>
    <col min="9997" max="10240" width="9.140625" style="1"/>
    <col min="10241" max="10241" width="7.5703125" style="1" customWidth="1"/>
    <col min="10242" max="10242" width="62.42578125" style="1" customWidth="1"/>
    <col min="10243" max="10243" width="14.140625" style="1" customWidth="1"/>
    <col min="10244" max="10244" width="12.42578125" style="1" customWidth="1"/>
    <col min="10245" max="10245" width="12.140625" style="1" customWidth="1"/>
    <col min="10246" max="10246" width="12.28515625" style="1" customWidth="1"/>
    <col min="10247" max="10247" width="62.7109375" style="1" customWidth="1"/>
    <col min="10248" max="10248" width="26.42578125" style="1" customWidth="1"/>
    <col min="10249" max="10249" width="22.7109375" style="1" customWidth="1"/>
    <col min="10250" max="10250" width="15.5703125" style="1" customWidth="1"/>
    <col min="10251" max="10251" width="27.28515625" style="1" customWidth="1"/>
    <col min="10252" max="10252" width="22.28515625" style="1" customWidth="1"/>
    <col min="10253" max="10496" width="9.140625" style="1"/>
    <col min="10497" max="10497" width="7.5703125" style="1" customWidth="1"/>
    <col min="10498" max="10498" width="62.42578125" style="1" customWidth="1"/>
    <col min="10499" max="10499" width="14.140625" style="1" customWidth="1"/>
    <col min="10500" max="10500" width="12.42578125" style="1" customWidth="1"/>
    <col min="10501" max="10501" width="12.140625" style="1" customWidth="1"/>
    <col min="10502" max="10502" width="12.28515625" style="1" customWidth="1"/>
    <col min="10503" max="10503" width="62.7109375" style="1" customWidth="1"/>
    <col min="10504" max="10504" width="26.42578125" style="1" customWidth="1"/>
    <col min="10505" max="10505" width="22.7109375" style="1" customWidth="1"/>
    <col min="10506" max="10506" width="15.5703125" style="1" customWidth="1"/>
    <col min="10507" max="10507" width="27.28515625" style="1" customWidth="1"/>
    <col min="10508" max="10508" width="22.28515625" style="1" customWidth="1"/>
    <col min="10509" max="10752" width="9.140625" style="1"/>
    <col min="10753" max="10753" width="7.5703125" style="1" customWidth="1"/>
    <col min="10754" max="10754" width="62.42578125" style="1" customWidth="1"/>
    <col min="10755" max="10755" width="14.140625" style="1" customWidth="1"/>
    <col min="10756" max="10756" width="12.42578125" style="1" customWidth="1"/>
    <col min="10757" max="10757" width="12.140625" style="1" customWidth="1"/>
    <col min="10758" max="10758" width="12.28515625" style="1" customWidth="1"/>
    <col min="10759" max="10759" width="62.7109375" style="1" customWidth="1"/>
    <col min="10760" max="10760" width="26.42578125" style="1" customWidth="1"/>
    <col min="10761" max="10761" width="22.7109375" style="1" customWidth="1"/>
    <col min="10762" max="10762" width="15.5703125" style="1" customWidth="1"/>
    <col min="10763" max="10763" width="27.28515625" style="1" customWidth="1"/>
    <col min="10764" max="10764" width="22.28515625" style="1" customWidth="1"/>
    <col min="10765" max="11008" width="9.140625" style="1"/>
    <col min="11009" max="11009" width="7.5703125" style="1" customWidth="1"/>
    <col min="11010" max="11010" width="62.42578125" style="1" customWidth="1"/>
    <col min="11011" max="11011" width="14.140625" style="1" customWidth="1"/>
    <col min="11012" max="11012" width="12.42578125" style="1" customWidth="1"/>
    <col min="11013" max="11013" width="12.140625" style="1" customWidth="1"/>
    <col min="11014" max="11014" width="12.28515625" style="1" customWidth="1"/>
    <col min="11015" max="11015" width="62.7109375" style="1" customWidth="1"/>
    <col min="11016" max="11016" width="26.42578125" style="1" customWidth="1"/>
    <col min="11017" max="11017" width="22.7109375" style="1" customWidth="1"/>
    <col min="11018" max="11018" width="15.5703125" style="1" customWidth="1"/>
    <col min="11019" max="11019" width="27.28515625" style="1" customWidth="1"/>
    <col min="11020" max="11020" width="22.28515625" style="1" customWidth="1"/>
    <col min="11021" max="11264" width="9.140625" style="1"/>
    <col min="11265" max="11265" width="7.5703125" style="1" customWidth="1"/>
    <col min="11266" max="11266" width="62.42578125" style="1" customWidth="1"/>
    <col min="11267" max="11267" width="14.140625" style="1" customWidth="1"/>
    <col min="11268" max="11268" width="12.42578125" style="1" customWidth="1"/>
    <col min="11269" max="11269" width="12.140625" style="1" customWidth="1"/>
    <col min="11270" max="11270" width="12.28515625" style="1" customWidth="1"/>
    <col min="11271" max="11271" width="62.7109375" style="1" customWidth="1"/>
    <col min="11272" max="11272" width="26.42578125" style="1" customWidth="1"/>
    <col min="11273" max="11273" width="22.7109375" style="1" customWidth="1"/>
    <col min="11274" max="11274" width="15.5703125" style="1" customWidth="1"/>
    <col min="11275" max="11275" width="27.28515625" style="1" customWidth="1"/>
    <col min="11276" max="11276" width="22.28515625" style="1" customWidth="1"/>
    <col min="11277" max="11520" width="9.140625" style="1"/>
    <col min="11521" max="11521" width="7.5703125" style="1" customWidth="1"/>
    <col min="11522" max="11522" width="62.42578125" style="1" customWidth="1"/>
    <col min="11523" max="11523" width="14.140625" style="1" customWidth="1"/>
    <col min="11524" max="11524" width="12.42578125" style="1" customWidth="1"/>
    <col min="11525" max="11525" width="12.140625" style="1" customWidth="1"/>
    <col min="11526" max="11526" width="12.28515625" style="1" customWidth="1"/>
    <col min="11527" max="11527" width="62.7109375" style="1" customWidth="1"/>
    <col min="11528" max="11528" width="26.42578125" style="1" customWidth="1"/>
    <col min="11529" max="11529" width="22.7109375" style="1" customWidth="1"/>
    <col min="11530" max="11530" width="15.5703125" style="1" customWidth="1"/>
    <col min="11531" max="11531" width="27.28515625" style="1" customWidth="1"/>
    <col min="11532" max="11532" width="22.28515625" style="1" customWidth="1"/>
    <col min="11533" max="11776" width="9.140625" style="1"/>
    <col min="11777" max="11777" width="7.5703125" style="1" customWidth="1"/>
    <col min="11778" max="11778" width="62.42578125" style="1" customWidth="1"/>
    <col min="11779" max="11779" width="14.140625" style="1" customWidth="1"/>
    <col min="11780" max="11780" width="12.42578125" style="1" customWidth="1"/>
    <col min="11781" max="11781" width="12.140625" style="1" customWidth="1"/>
    <col min="11782" max="11782" width="12.28515625" style="1" customWidth="1"/>
    <col min="11783" max="11783" width="62.7109375" style="1" customWidth="1"/>
    <col min="11784" max="11784" width="26.42578125" style="1" customWidth="1"/>
    <col min="11785" max="11785" width="22.7109375" style="1" customWidth="1"/>
    <col min="11786" max="11786" width="15.5703125" style="1" customWidth="1"/>
    <col min="11787" max="11787" width="27.28515625" style="1" customWidth="1"/>
    <col min="11788" max="11788" width="22.28515625" style="1" customWidth="1"/>
    <col min="11789" max="12032" width="9.140625" style="1"/>
    <col min="12033" max="12033" width="7.5703125" style="1" customWidth="1"/>
    <col min="12034" max="12034" width="62.42578125" style="1" customWidth="1"/>
    <col min="12035" max="12035" width="14.140625" style="1" customWidth="1"/>
    <col min="12036" max="12036" width="12.42578125" style="1" customWidth="1"/>
    <col min="12037" max="12037" width="12.140625" style="1" customWidth="1"/>
    <col min="12038" max="12038" width="12.28515625" style="1" customWidth="1"/>
    <col min="12039" max="12039" width="62.7109375" style="1" customWidth="1"/>
    <col min="12040" max="12040" width="26.42578125" style="1" customWidth="1"/>
    <col min="12041" max="12041" width="22.7109375" style="1" customWidth="1"/>
    <col min="12042" max="12042" width="15.5703125" style="1" customWidth="1"/>
    <col min="12043" max="12043" width="27.28515625" style="1" customWidth="1"/>
    <col min="12044" max="12044" width="22.28515625" style="1" customWidth="1"/>
    <col min="12045" max="12288" width="9.140625" style="1"/>
    <col min="12289" max="12289" width="7.5703125" style="1" customWidth="1"/>
    <col min="12290" max="12290" width="62.42578125" style="1" customWidth="1"/>
    <col min="12291" max="12291" width="14.140625" style="1" customWidth="1"/>
    <col min="12292" max="12292" width="12.42578125" style="1" customWidth="1"/>
    <col min="12293" max="12293" width="12.140625" style="1" customWidth="1"/>
    <col min="12294" max="12294" width="12.28515625" style="1" customWidth="1"/>
    <col min="12295" max="12295" width="62.7109375" style="1" customWidth="1"/>
    <col min="12296" max="12296" width="26.42578125" style="1" customWidth="1"/>
    <col min="12297" max="12297" width="22.7109375" style="1" customWidth="1"/>
    <col min="12298" max="12298" width="15.5703125" style="1" customWidth="1"/>
    <col min="12299" max="12299" width="27.28515625" style="1" customWidth="1"/>
    <col min="12300" max="12300" width="22.28515625" style="1" customWidth="1"/>
    <col min="12301" max="12544" width="9.140625" style="1"/>
    <col min="12545" max="12545" width="7.5703125" style="1" customWidth="1"/>
    <col min="12546" max="12546" width="62.42578125" style="1" customWidth="1"/>
    <col min="12547" max="12547" width="14.140625" style="1" customWidth="1"/>
    <col min="12548" max="12548" width="12.42578125" style="1" customWidth="1"/>
    <col min="12549" max="12549" width="12.140625" style="1" customWidth="1"/>
    <col min="12550" max="12550" width="12.28515625" style="1" customWidth="1"/>
    <col min="12551" max="12551" width="62.7109375" style="1" customWidth="1"/>
    <col min="12552" max="12552" width="26.42578125" style="1" customWidth="1"/>
    <col min="12553" max="12553" width="22.7109375" style="1" customWidth="1"/>
    <col min="12554" max="12554" width="15.5703125" style="1" customWidth="1"/>
    <col min="12555" max="12555" width="27.28515625" style="1" customWidth="1"/>
    <col min="12556" max="12556" width="22.28515625" style="1" customWidth="1"/>
    <col min="12557" max="12800" width="9.140625" style="1"/>
    <col min="12801" max="12801" width="7.5703125" style="1" customWidth="1"/>
    <col min="12802" max="12802" width="62.42578125" style="1" customWidth="1"/>
    <col min="12803" max="12803" width="14.140625" style="1" customWidth="1"/>
    <col min="12804" max="12804" width="12.42578125" style="1" customWidth="1"/>
    <col min="12805" max="12805" width="12.140625" style="1" customWidth="1"/>
    <col min="12806" max="12806" width="12.28515625" style="1" customWidth="1"/>
    <col min="12807" max="12807" width="62.7109375" style="1" customWidth="1"/>
    <col min="12808" max="12808" width="26.42578125" style="1" customWidth="1"/>
    <col min="12809" max="12809" width="22.7109375" style="1" customWidth="1"/>
    <col min="12810" max="12810" width="15.5703125" style="1" customWidth="1"/>
    <col min="12811" max="12811" width="27.28515625" style="1" customWidth="1"/>
    <col min="12812" max="12812" width="22.28515625" style="1" customWidth="1"/>
    <col min="12813" max="13056" width="9.140625" style="1"/>
    <col min="13057" max="13057" width="7.5703125" style="1" customWidth="1"/>
    <col min="13058" max="13058" width="62.42578125" style="1" customWidth="1"/>
    <col min="13059" max="13059" width="14.140625" style="1" customWidth="1"/>
    <col min="13060" max="13060" width="12.42578125" style="1" customWidth="1"/>
    <col min="13061" max="13061" width="12.140625" style="1" customWidth="1"/>
    <col min="13062" max="13062" width="12.28515625" style="1" customWidth="1"/>
    <col min="13063" max="13063" width="62.7109375" style="1" customWidth="1"/>
    <col min="13064" max="13064" width="26.42578125" style="1" customWidth="1"/>
    <col min="13065" max="13065" width="22.7109375" style="1" customWidth="1"/>
    <col min="13066" max="13066" width="15.5703125" style="1" customWidth="1"/>
    <col min="13067" max="13067" width="27.28515625" style="1" customWidth="1"/>
    <col min="13068" max="13068" width="22.28515625" style="1" customWidth="1"/>
    <col min="13069" max="13312" width="9.140625" style="1"/>
    <col min="13313" max="13313" width="7.5703125" style="1" customWidth="1"/>
    <col min="13314" max="13314" width="62.42578125" style="1" customWidth="1"/>
    <col min="13315" max="13315" width="14.140625" style="1" customWidth="1"/>
    <col min="13316" max="13316" width="12.42578125" style="1" customWidth="1"/>
    <col min="13317" max="13317" width="12.140625" style="1" customWidth="1"/>
    <col min="13318" max="13318" width="12.28515625" style="1" customWidth="1"/>
    <col min="13319" max="13319" width="62.7109375" style="1" customWidth="1"/>
    <col min="13320" max="13320" width="26.42578125" style="1" customWidth="1"/>
    <col min="13321" max="13321" width="22.7109375" style="1" customWidth="1"/>
    <col min="13322" max="13322" width="15.5703125" style="1" customWidth="1"/>
    <col min="13323" max="13323" width="27.28515625" style="1" customWidth="1"/>
    <col min="13324" max="13324" width="22.28515625" style="1" customWidth="1"/>
    <col min="13325" max="13568" width="9.140625" style="1"/>
    <col min="13569" max="13569" width="7.5703125" style="1" customWidth="1"/>
    <col min="13570" max="13570" width="62.42578125" style="1" customWidth="1"/>
    <col min="13571" max="13571" width="14.140625" style="1" customWidth="1"/>
    <col min="13572" max="13572" width="12.42578125" style="1" customWidth="1"/>
    <col min="13573" max="13573" width="12.140625" style="1" customWidth="1"/>
    <col min="13574" max="13574" width="12.28515625" style="1" customWidth="1"/>
    <col min="13575" max="13575" width="62.7109375" style="1" customWidth="1"/>
    <col min="13576" max="13576" width="26.42578125" style="1" customWidth="1"/>
    <col min="13577" max="13577" width="22.7109375" style="1" customWidth="1"/>
    <col min="13578" max="13578" width="15.5703125" style="1" customWidth="1"/>
    <col min="13579" max="13579" width="27.28515625" style="1" customWidth="1"/>
    <col min="13580" max="13580" width="22.28515625" style="1" customWidth="1"/>
    <col min="13581" max="13824" width="9.140625" style="1"/>
    <col min="13825" max="13825" width="7.5703125" style="1" customWidth="1"/>
    <col min="13826" max="13826" width="62.42578125" style="1" customWidth="1"/>
    <col min="13827" max="13827" width="14.140625" style="1" customWidth="1"/>
    <col min="13828" max="13828" width="12.42578125" style="1" customWidth="1"/>
    <col min="13829" max="13829" width="12.140625" style="1" customWidth="1"/>
    <col min="13830" max="13830" width="12.28515625" style="1" customWidth="1"/>
    <col min="13831" max="13831" width="62.7109375" style="1" customWidth="1"/>
    <col min="13832" max="13832" width="26.42578125" style="1" customWidth="1"/>
    <col min="13833" max="13833" width="22.7109375" style="1" customWidth="1"/>
    <col min="13834" max="13834" width="15.5703125" style="1" customWidth="1"/>
    <col min="13835" max="13835" width="27.28515625" style="1" customWidth="1"/>
    <col min="13836" max="13836" width="22.28515625" style="1" customWidth="1"/>
    <col min="13837" max="14080" width="9.140625" style="1"/>
    <col min="14081" max="14081" width="7.5703125" style="1" customWidth="1"/>
    <col min="14082" max="14082" width="62.42578125" style="1" customWidth="1"/>
    <col min="14083" max="14083" width="14.140625" style="1" customWidth="1"/>
    <col min="14084" max="14084" width="12.42578125" style="1" customWidth="1"/>
    <col min="14085" max="14085" width="12.140625" style="1" customWidth="1"/>
    <col min="14086" max="14086" width="12.28515625" style="1" customWidth="1"/>
    <col min="14087" max="14087" width="62.7109375" style="1" customWidth="1"/>
    <col min="14088" max="14088" width="26.42578125" style="1" customWidth="1"/>
    <col min="14089" max="14089" width="22.7109375" style="1" customWidth="1"/>
    <col min="14090" max="14090" width="15.5703125" style="1" customWidth="1"/>
    <col min="14091" max="14091" width="27.28515625" style="1" customWidth="1"/>
    <col min="14092" max="14092" width="22.28515625" style="1" customWidth="1"/>
    <col min="14093" max="14336" width="9.140625" style="1"/>
    <col min="14337" max="14337" width="7.5703125" style="1" customWidth="1"/>
    <col min="14338" max="14338" width="62.42578125" style="1" customWidth="1"/>
    <col min="14339" max="14339" width="14.140625" style="1" customWidth="1"/>
    <col min="14340" max="14340" width="12.42578125" style="1" customWidth="1"/>
    <col min="14341" max="14341" width="12.140625" style="1" customWidth="1"/>
    <col min="14342" max="14342" width="12.28515625" style="1" customWidth="1"/>
    <col min="14343" max="14343" width="62.7109375" style="1" customWidth="1"/>
    <col min="14344" max="14344" width="26.42578125" style="1" customWidth="1"/>
    <col min="14345" max="14345" width="22.7109375" style="1" customWidth="1"/>
    <col min="14346" max="14346" width="15.5703125" style="1" customWidth="1"/>
    <col min="14347" max="14347" width="27.28515625" style="1" customWidth="1"/>
    <col min="14348" max="14348" width="22.28515625" style="1" customWidth="1"/>
    <col min="14349" max="14592" width="9.140625" style="1"/>
    <col min="14593" max="14593" width="7.5703125" style="1" customWidth="1"/>
    <col min="14594" max="14594" width="62.42578125" style="1" customWidth="1"/>
    <col min="14595" max="14595" width="14.140625" style="1" customWidth="1"/>
    <col min="14596" max="14596" width="12.42578125" style="1" customWidth="1"/>
    <col min="14597" max="14597" width="12.140625" style="1" customWidth="1"/>
    <col min="14598" max="14598" width="12.28515625" style="1" customWidth="1"/>
    <col min="14599" max="14599" width="62.7109375" style="1" customWidth="1"/>
    <col min="14600" max="14600" width="26.42578125" style="1" customWidth="1"/>
    <col min="14601" max="14601" width="22.7109375" style="1" customWidth="1"/>
    <col min="14602" max="14602" width="15.5703125" style="1" customWidth="1"/>
    <col min="14603" max="14603" width="27.28515625" style="1" customWidth="1"/>
    <col min="14604" max="14604" width="22.28515625" style="1" customWidth="1"/>
    <col min="14605" max="14848" width="9.140625" style="1"/>
    <col min="14849" max="14849" width="7.5703125" style="1" customWidth="1"/>
    <col min="14850" max="14850" width="62.42578125" style="1" customWidth="1"/>
    <col min="14851" max="14851" width="14.140625" style="1" customWidth="1"/>
    <col min="14852" max="14852" width="12.42578125" style="1" customWidth="1"/>
    <col min="14853" max="14853" width="12.140625" style="1" customWidth="1"/>
    <col min="14854" max="14854" width="12.28515625" style="1" customWidth="1"/>
    <col min="14855" max="14855" width="62.7109375" style="1" customWidth="1"/>
    <col min="14856" max="14856" width="26.42578125" style="1" customWidth="1"/>
    <col min="14857" max="14857" width="22.7109375" style="1" customWidth="1"/>
    <col min="14858" max="14858" width="15.5703125" style="1" customWidth="1"/>
    <col min="14859" max="14859" width="27.28515625" style="1" customWidth="1"/>
    <col min="14860" max="14860" width="22.28515625" style="1" customWidth="1"/>
    <col min="14861" max="15104" width="9.140625" style="1"/>
    <col min="15105" max="15105" width="7.5703125" style="1" customWidth="1"/>
    <col min="15106" max="15106" width="62.42578125" style="1" customWidth="1"/>
    <col min="15107" max="15107" width="14.140625" style="1" customWidth="1"/>
    <col min="15108" max="15108" width="12.42578125" style="1" customWidth="1"/>
    <col min="15109" max="15109" width="12.140625" style="1" customWidth="1"/>
    <col min="15110" max="15110" width="12.28515625" style="1" customWidth="1"/>
    <col min="15111" max="15111" width="62.7109375" style="1" customWidth="1"/>
    <col min="15112" max="15112" width="26.42578125" style="1" customWidth="1"/>
    <col min="15113" max="15113" width="22.7109375" style="1" customWidth="1"/>
    <col min="15114" max="15114" width="15.5703125" style="1" customWidth="1"/>
    <col min="15115" max="15115" width="27.28515625" style="1" customWidth="1"/>
    <col min="15116" max="15116" width="22.28515625" style="1" customWidth="1"/>
    <col min="15117" max="15360" width="9.140625" style="1"/>
    <col min="15361" max="15361" width="7.5703125" style="1" customWidth="1"/>
    <col min="15362" max="15362" width="62.42578125" style="1" customWidth="1"/>
    <col min="15363" max="15363" width="14.140625" style="1" customWidth="1"/>
    <col min="15364" max="15364" width="12.42578125" style="1" customWidth="1"/>
    <col min="15365" max="15365" width="12.140625" style="1" customWidth="1"/>
    <col min="15366" max="15366" width="12.28515625" style="1" customWidth="1"/>
    <col min="15367" max="15367" width="62.7109375" style="1" customWidth="1"/>
    <col min="15368" max="15368" width="26.42578125" style="1" customWidth="1"/>
    <col min="15369" max="15369" width="22.7109375" style="1" customWidth="1"/>
    <col min="15370" max="15370" width="15.5703125" style="1" customWidth="1"/>
    <col min="15371" max="15371" width="27.28515625" style="1" customWidth="1"/>
    <col min="15372" max="15372" width="22.28515625" style="1" customWidth="1"/>
    <col min="15373" max="15616" width="9.140625" style="1"/>
    <col min="15617" max="15617" width="7.5703125" style="1" customWidth="1"/>
    <col min="15618" max="15618" width="62.42578125" style="1" customWidth="1"/>
    <col min="15619" max="15619" width="14.140625" style="1" customWidth="1"/>
    <col min="15620" max="15620" width="12.42578125" style="1" customWidth="1"/>
    <col min="15621" max="15621" width="12.140625" style="1" customWidth="1"/>
    <col min="15622" max="15622" width="12.28515625" style="1" customWidth="1"/>
    <col min="15623" max="15623" width="62.7109375" style="1" customWidth="1"/>
    <col min="15624" max="15624" width="26.42578125" style="1" customWidth="1"/>
    <col min="15625" max="15625" width="22.7109375" style="1" customWidth="1"/>
    <col min="15626" max="15626" width="15.5703125" style="1" customWidth="1"/>
    <col min="15627" max="15627" width="27.28515625" style="1" customWidth="1"/>
    <col min="15628" max="15628" width="22.28515625" style="1" customWidth="1"/>
    <col min="15629" max="15872" width="9.140625" style="1"/>
    <col min="15873" max="15873" width="7.5703125" style="1" customWidth="1"/>
    <col min="15874" max="15874" width="62.42578125" style="1" customWidth="1"/>
    <col min="15875" max="15875" width="14.140625" style="1" customWidth="1"/>
    <col min="15876" max="15876" width="12.42578125" style="1" customWidth="1"/>
    <col min="15877" max="15877" width="12.140625" style="1" customWidth="1"/>
    <col min="15878" max="15878" width="12.28515625" style="1" customWidth="1"/>
    <col min="15879" max="15879" width="62.7109375" style="1" customWidth="1"/>
    <col min="15880" max="15880" width="26.42578125" style="1" customWidth="1"/>
    <col min="15881" max="15881" width="22.7109375" style="1" customWidth="1"/>
    <col min="15882" max="15882" width="15.5703125" style="1" customWidth="1"/>
    <col min="15883" max="15883" width="27.28515625" style="1" customWidth="1"/>
    <col min="15884" max="15884" width="22.28515625" style="1" customWidth="1"/>
    <col min="15885" max="16128" width="9.140625" style="1"/>
    <col min="16129" max="16129" width="7.5703125" style="1" customWidth="1"/>
    <col min="16130" max="16130" width="62.42578125" style="1" customWidth="1"/>
    <col min="16131" max="16131" width="14.140625" style="1" customWidth="1"/>
    <col min="16132" max="16132" width="12.42578125" style="1" customWidth="1"/>
    <col min="16133" max="16133" width="12.140625" style="1" customWidth="1"/>
    <col min="16134" max="16134" width="12.28515625" style="1" customWidth="1"/>
    <col min="16135" max="16135" width="62.7109375" style="1" customWidth="1"/>
    <col min="16136" max="16136" width="26.42578125" style="1" customWidth="1"/>
    <col min="16137" max="16137" width="22.7109375" style="1" customWidth="1"/>
    <col min="16138" max="16138" width="15.5703125" style="1" customWidth="1"/>
    <col min="16139" max="16139" width="27.28515625" style="1" customWidth="1"/>
    <col min="16140" max="16140" width="22.28515625" style="1" customWidth="1"/>
    <col min="16141" max="16384" width="9.140625" style="1"/>
  </cols>
  <sheetData>
    <row r="1" spans="1:12" ht="15.75" x14ac:dyDescent="0.25">
      <c r="A1" s="129"/>
      <c r="G1" s="211" t="s">
        <v>25</v>
      </c>
      <c r="H1" s="211"/>
      <c r="I1" s="211"/>
      <c r="J1" s="192"/>
    </row>
    <row r="2" spans="1:12" x14ac:dyDescent="0.25">
      <c r="H2" s="10"/>
      <c r="I2" s="10"/>
    </row>
    <row r="3" spans="1:12" ht="51.75" customHeight="1" x14ac:dyDescent="0.25">
      <c r="A3" s="195" t="s">
        <v>94</v>
      </c>
      <c r="B3" s="195"/>
      <c r="C3" s="195"/>
      <c r="D3" s="195"/>
      <c r="E3" s="195"/>
      <c r="F3" s="195"/>
      <c r="G3" s="195"/>
      <c r="H3" s="195"/>
      <c r="I3" s="195"/>
      <c r="J3" s="1"/>
    </row>
    <row r="4" spans="1:12" x14ac:dyDescent="0.25">
      <c r="A4" s="198" t="s">
        <v>78</v>
      </c>
      <c r="B4" s="198"/>
      <c r="C4" s="198"/>
      <c r="D4" s="198"/>
      <c r="E4" s="198"/>
      <c r="F4" s="198"/>
      <c r="G4" s="198"/>
      <c r="H4" s="198"/>
      <c r="I4" s="198"/>
      <c r="J4" s="1"/>
    </row>
    <row r="5" spans="1:12" hidden="1" x14ac:dyDescent="0.25">
      <c r="H5" s="10"/>
      <c r="I5" s="10"/>
    </row>
    <row r="6" spans="1:12" x14ac:dyDescent="0.25">
      <c r="H6" s="10"/>
      <c r="I6" s="10"/>
    </row>
    <row r="7" spans="1:12" ht="15.75" customHeight="1" x14ac:dyDescent="0.25">
      <c r="A7" s="196" t="s">
        <v>0</v>
      </c>
      <c r="B7" s="196" t="s">
        <v>1</v>
      </c>
      <c r="C7" s="196" t="s">
        <v>2</v>
      </c>
      <c r="D7" s="196" t="s">
        <v>51</v>
      </c>
      <c r="E7" s="196" t="s">
        <v>3</v>
      </c>
      <c r="F7" s="196"/>
      <c r="G7" s="197" t="s">
        <v>82</v>
      </c>
      <c r="H7" s="197"/>
      <c r="I7" s="197"/>
      <c r="J7" s="208" t="s">
        <v>50</v>
      </c>
      <c r="K7" s="29"/>
    </row>
    <row r="8" spans="1:12" ht="47.25" x14ac:dyDescent="0.25">
      <c r="A8" s="196"/>
      <c r="B8" s="196"/>
      <c r="C8" s="196"/>
      <c r="D8" s="196"/>
      <c r="E8" s="185" t="s">
        <v>4</v>
      </c>
      <c r="F8" s="185" t="s">
        <v>5</v>
      </c>
      <c r="G8" s="186" t="s">
        <v>85</v>
      </c>
      <c r="H8" s="191" t="s">
        <v>83</v>
      </c>
      <c r="I8" s="191" t="s">
        <v>86</v>
      </c>
      <c r="J8" s="208"/>
      <c r="K8" s="82"/>
      <c r="L8" s="73"/>
    </row>
    <row r="9" spans="1:12" ht="15.75" x14ac:dyDescent="0.25">
      <c r="A9" s="3"/>
      <c r="B9" s="185" t="s">
        <v>75</v>
      </c>
      <c r="C9" s="3"/>
      <c r="D9" s="3"/>
      <c r="E9" s="3"/>
      <c r="F9" s="3"/>
      <c r="G9" s="112"/>
      <c r="H9" s="138"/>
      <c r="I9" s="138"/>
      <c r="J9" s="3"/>
      <c r="K9" s="29"/>
      <c r="L9" s="73"/>
    </row>
    <row r="10" spans="1:12" ht="31.5" x14ac:dyDescent="0.25">
      <c r="A10" s="158">
        <v>1</v>
      </c>
      <c r="B10" s="161" t="s">
        <v>141</v>
      </c>
      <c r="C10" s="160">
        <f>23.308-5.9</f>
        <v>17.408000000000001</v>
      </c>
      <c r="D10" s="160" t="s">
        <v>53</v>
      </c>
      <c r="E10" s="158" t="s">
        <v>7</v>
      </c>
      <c r="F10" s="158" t="s">
        <v>59</v>
      </c>
      <c r="G10" s="141">
        <f>C10*24548804.5974973</f>
        <v>427345590.43000001</v>
      </c>
      <c r="H10" s="166">
        <f>G10*74.7865430954757%</f>
        <v>319596994.14999998</v>
      </c>
      <c r="I10" s="166">
        <f>G10-H10</f>
        <v>107748596.28</v>
      </c>
      <c r="J10" s="160" t="s">
        <v>142</v>
      </c>
      <c r="K10" s="97"/>
      <c r="L10" s="154"/>
    </row>
    <row r="11" spans="1:12" ht="15.75" x14ac:dyDescent="0.25">
      <c r="A11" s="185"/>
      <c r="B11" s="188" t="s">
        <v>9</v>
      </c>
      <c r="C11" s="104">
        <f>C10</f>
        <v>17.408000000000001</v>
      </c>
      <c r="D11" s="104"/>
      <c r="E11" s="188"/>
      <c r="F11" s="185"/>
      <c r="G11" s="189">
        <f>G10</f>
        <v>427345590.43000001</v>
      </c>
      <c r="H11" s="167">
        <f>H10</f>
        <v>319596994.14999998</v>
      </c>
      <c r="I11" s="167">
        <f>I10</f>
        <v>107748596.28</v>
      </c>
      <c r="J11" s="104"/>
      <c r="K11" s="94"/>
      <c r="L11" s="76"/>
    </row>
    <row r="12" spans="1:12" ht="15.75" x14ac:dyDescent="0.25">
      <c r="A12" s="185"/>
      <c r="B12" s="185" t="s">
        <v>10</v>
      </c>
      <c r="C12" s="5"/>
      <c r="D12" s="5"/>
      <c r="E12" s="185"/>
      <c r="F12" s="185"/>
      <c r="G12" s="114"/>
      <c r="H12" s="168"/>
      <c r="I12" s="168"/>
      <c r="J12" s="5"/>
      <c r="K12" s="94"/>
      <c r="L12" s="76"/>
    </row>
    <row r="13" spans="1:12" ht="47.25" x14ac:dyDescent="0.25">
      <c r="A13" s="158">
        <v>2</v>
      </c>
      <c r="B13" s="179" t="s">
        <v>162</v>
      </c>
      <c r="C13" s="160">
        <f>24.78-18.66+4.415</f>
        <v>10.535</v>
      </c>
      <c r="D13" s="160" t="s">
        <v>53</v>
      </c>
      <c r="E13" s="158" t="s">
        <v>7</v>
      </c>
      <c r="F13" s="158" t="s">
        <v>59</v>
      </c>
      <c r="G13" s="141">
        <f>C13*24548804.5974973</f>
        <v>258621656.43000001</v>
      </c>
      <c r="H13" s="166">
        <f>G13*74.7865430954757%</f>
        <v>193414196.53999999</v>
      </c>
      <c r="I13" s="166">
        <f>G13-H13</f>
        <v>65207459.890000001</v>
      </c>
      <c r="J13" s="160" t="s">
        <v>143</v>
      </c>
      <c r="K13" s="96"/>
      <c r="L13" s="73"/>
    </row>
    <row r="14" spans="1:12" ht="15.75" x14ac:dyDescent="0.25">
      <c r="A14" s="185"/>
      <c r="B14" s="185" t="s">
        <v>9</v>
      </c>
      <c r="C14" s="5">
        <f>C13</f>
        <v>10.535</v>
      </c>
      <c r="D14" s="5"/>
      <c r="E14" s="185"/>
      <c r="F14" s="185"/>
      <c r="G14" s="189">
        <f>G13</f>
        <v>258621656.43000001</v>
      </c>
      <c r="H14" s="167">
        <f>H13</f>
        <v>193414196.53999999</v>
      </c>
      <c r="I14" s="167">
        <f>I13</f>
        <v>65207459.890000001</v>
      </c>
      <c r="J14" s="5"/>
      <c r="K14" s="29"/>
      <c r="L14" s="73"/>
    </row>
    <row r="15" spans="1:12" ht="15.75" x14ac:dyDescent="0.25">
      <c r="A15" s="159"/>
      <c r="B15" s="185" t="s">
        <v>11</v>
      </c>
      <c r="C15" s="5"/>
      <c r="D15" s="5"/>
      <c r="E15" s="3"/>
      <c r="F15" s="3"/>
      <c r="G15" s="114"/>
      <c r="H15" s="168"/>
      <c r="I15" s="168"/>
      <c r="J15" s="5"/>
      <c r="K15" s="29"/>
      <c r="L15" s="73"/>
    </row>
    <row r="16" spans="1:12" ht="31.5" x14ac:dyDescent="0.25">
      <c r="A16" s="158">
        <v>3</v>
      </c>
      <c r="B16" s="161" t="s">
        <v>144</v>
      </c>
      <c r="C16" s="162">
        <f>12.405-5.732</f>
        <v>6.673</v>
      </c>
      <c r="D16" s="160" t="s">
        <v>53</v>
      </c>
      <c r="E16" s="158" t="s">
        <v>7</v>
      </c>
      <c r="F16" s="158" t="s">
        <v>59</v>
      </c>
      <c r="G16" s="141">
        <f>C16*24548804.5974973</f>
        <v>163814173.08000001</v>
      </c>
      <c r="H16" s="166">
        <f>G16*74.7865430954757%</f>
        <v>122510957.15000001</v>
      </c>
      <c r="I16" s="169">
        <f>G16-H16</f>
        <v>41303215.93</v>
      </c>
      <c r="J16" s="160" t="s">
        <v>145</v>
      </c>
      <c r="K16" s="96"/>
      <c r="L16" s="73"/>
    </row>
    <row r="17" spans="1:12" ht="15.75" x14ac:dyDescent="0.25">
      <c r="A17" s="185"/>
      <c r="B17" s="185" t="s">
        <v>9</v>
      </c>
      <c r="C17" s="5">
        <f>C16</f>
        <v>6.673</v>
      </c>
      <c r="D17" s="5"/>
      <c r="E17" s="185"/>
      <c r="F17" s="99"/>
      <c r="G17" s="189">
        <f>G16</f>
        <v>163814173.08000001</v>
      </c>
      <c r="H17" s="167">
        <f>H16</f>
        <v>122510957.15000001</v>
      </c>
      <c r="I17" s="167">
        <f>I16</f>
        <v>41303215.93</v>
      </c>
      <c r="J17" s="5"/>
      <c r="K17" s="29"/>
      <c r="L17" s="73"/>
    </row>
    <row r="18" spans="1:12" ht="15.75" x14ac:dyDescent="0.25">
      <c r="A18" s="159"/>
      <c r="B18" s="185" t="s">
        <v>12</v>
      </c>
      <c r="C18" s="5"/>
      <c r="D18" s="5"/>
      <c r="E18" s="185"/>
      <c r="F18" s="185"/>
      <c r="G18" s="186"/>
      <c r="H18" s="170"/>
      <c r="I18" s="170"/>
      <c r="J18" s="5"/>
      <c r="K18" s="29"/>
      <c r="L18" s="73"/>
    </row>
    <row r="19" spans="1:12" ht="47.25" x14ac:dyDescent="0.25">
      <c r="A19" s="158">
        <v>4</v>
      </c>
      <c r="B19" s="161" t="s">
        <v>163</v>
      </c>
      <c r="C19" s="162">
        <v>3.47</v>
      </c>
      <c r="D19" s="160" t="s">
        <v>52</v>
      </c>
      <c r="E19" s="158" t="s">
        <v>7</v>
      </c>
      <c r="F19" s="158" t="s">
        <v>59</v>
      </c>
      <c r="G19" s="141">
        <f>C19*24548804.5974973</f>
        <v>85184351.950000003</v>
      </c>
      <c r="H19" s="166">
        <f>G19*74.7865430954757%</f>
        <v>63706432.079999998</v>
      </c>
      <c r="I19" s="169">
        <f>G19-H19</f>
        <v>21477919.870000001</v>
      </c>
      <c r="J19" s="160" t="s">
        <v>146</v>
      </c>
      <c r="K19" s="96"/>
      <c r="L19" s="76"/>
    </row>
    <row r="20" spans="1:12" ht="15.75" x14ac:dyDescent="0.25">
      <c r="A20" s="3"/>
      <c r="B20" s="185" t="s">
        <v>9</v>
      </c>
      <c r="C20" s="5">
        <f>C19</f>
        <v>3.47</v>
      </c>
      <c r="D20" s="106"/>
      <c r="E20" s="99"/>
      <c r="F20" s="99"/>
      <c r="G20" s="189">
        <f>G19</f>
        <v>85184351.950000003</v>
      </c>
      <c r="H20" s="167">
        <f>H19</f>
        <v>63706432.079999998</v>
      </c>
      <c r="I20" s="167">
        <f>I19</f>
        <v>21477919.870000001</v>
      </c>
      <c r="J20" s="106"/>
      <c r="K20" s="96"/>
      <c r="L20" s="85"/>
    </row>
    <row r="21" spans="1:12" ht="15.75" x14ac:dyDescent="0.25">
      <c r="A21" s="164"/>
      <c r="B21" s="185" t="s">
        <v>80</v>
      </c>
      <c r="C21" s="5"/>
      <c r="D21" s="105"/>
      <c r="E21" s="185"/>
      <c r="F21" s="185"/>
      <c r="G21" s="140"/>
      <c r="H21" s="171"/>
      <c r="I21" s="168"/>
      <c r="J21" s="186"/>
      <c r="K21" s="96"/>
      <c r="L21" s="85"/>
    </row>
    <row r="22" spans="1:12" ht="47.25" x14ac:dyDescent="0.25">
      <c r="A22" s="158">
        <v>5</v>
      </c>
      <c r="B22" s="163" t="s">
        <v>147</v>
      </c>
      <c r="C22" s="162">
        <f>27.865-25.8+25.595-11.45</f>
        <v>16.21</v>
      </c>
      <c r="D22" s="160" t="s">
        <v>53</v>
      </c>
      <c r="E22" s="158" t="s">
        <v>7</v>
      </c>
      <c r="F22" s="158" t="s">
        <v>59</v>
      </c>
      <c r="G22" s="141">
        <f>C22*24548804.5974973</f>
        <v>397936122.52999997</v>
      </c>
      <c r="H22" s="166">
        <f>G22*74.7865430954757%</f>
        <v>297602669.76999998</v>
      </c>
      <c r="I22" s="172">
        <f>G22-H22</f>
        <v>100333452.76000001</v>
      </c>
      <c r="J22" s="160" t="s">
        <v>148</v>
      </c>
      <c r="K22" s="96"/>
      <c r="L22" s="85"/>
    </row>
    <row r="23" spans="1:12" ht="15.75" x14ac:dyDescent="0.25">
      <c r="A23" s="3"/>
      <c r="B23" s="185" t="s">
        <v>9</v>
      </c>
      <c r="C23" s="5">
        <f>C22</f>
        <v>16.21</v>
      </c>
      <c r="D23" s="106"/>
      <c r="E23" s="99"/>
      <c r="F23" s="99"/>
      <c r="G23" s="189">
        <f>G22</f>
        <v>397936122.52999997</v>
      </c>
      <c r="H23" s="167">
        <f>H22</f>
        <v>297602669.76999998</v>
      </c>
      <c r="I23" s="167">
        <f>I22</f>
        <v>100333452.76000001</v>
      </c>
      <c r="J23" s="186"/>
      <c r="K23" s="96"/>
      <c r="L23" s="85"/>
    </row>
    <row r="24" spans="1:12" ht="15.75" x14ac:dyDescent="0.25">
      <c r="A24" s="164"/>
      <c r="B24" s="185" t="s">
        <v>67</v>
      </c>
      <c r="C24" s="5"/>
      <c r="D24" s="105"/>
      <c r="E24" s="185"/>
      <c r="F24" s="185"/>
      <c r="G24" s="140"/>
      <c r="H24" s="171"/>
      <c r="I24" s="168"/>
      <c r="J24" s="186"/>
      <c r="K24" s="96"/>
      <c r="L24" s="85"/>
    </row>
    <row r="25" spans="1:12" ht="47.25" x14ac:dyDescent="0.25">
      <c r="A25" s="158">
        <v>6</v>
      </c>
      <c r="B25" s="163" t="s">
        <v>158</v>
      </c>
      <c r="C25" s="162">
        <f>31.1-29.315+26.83-25.4</f>
        <v>3.2149999999999999</v>
      </c>
      <c r="D25" s="160" t="s">
        <v>53</v>
      </c>
      <c r="E25" s="158" t="s">
        <v>7</v>
      </c>
      <c r="F25" s="158" t="s">
        <v>59</v>
      </c>
      <c r="G25" s="141">
        <f>C25*24548804.5974973</f>
        <v>78924406.780000001</v>
      </c>
      <c r="H25" s="166">
        <f>G25*74.7865430954757%</f>
        <v>59024835.490000002</v>
      </c>
      <c r="I25" s="172">
        <f>G25-H25</f>
        <v>19899571.289999999</v>
      </c>
      <c r="J25" s="160" t="s">
        <v>149</v>
      </c>
      <c r="K25" s="96"/>
      <c r="L25" s="85"/>
    </row>
    <row r="26" spans="1:12" ht="47.25" x14ac:dyDescent="0.25">
      <c r="A26" s="158">
        <v>7</v>
      </c>
      <c r="B26" s="163" t="s">
        <v>150</v>
      </c>
      <c r="C26" s="162">
        <f>14.77-12.89+9.92-9.59+3.1-2.15</f>
        <v>3.16</v>
      </c>
      <c r="D26" s="160" t="s">
        <v>53</v>
      </c>
      <c r="E26" s="158" t="s">
        <v>7</v>
      </c>
      <c r="F26" s="158" t="s">
        <v>59</v>
      </c>
      <c r="G26" s="141">
        <f>C26*24548804.5974973</f>
        <v>77574222.530000001</v>
      </c>
      <c r="H26" s="166">
        <f>G26*74.7865430954757%</f>
        <v>58015079.359999999</v>
      </c>
      <c r="I26" s="172">
        <f>G26-H26</f>
        <v>19559143.170000002</v>
      </c>
      <c r="J26" s="160" t="s">
        <v>151</v>
      </c>
      <c r="K26" s="96"/>
      <c r="L26" s="85"/>
    </row>
    <row r="27" spans="1:12" ht="15.75" x14ac:dyDescent="0.25">
      <c r="A27" s="3"/>
      <c r="B27" s="185" t="s">
        <v>9</v>
      </c>
      <c r="C27" s="5">
        <f>SUM(C25:C26)</f>
        <v>6.375</v>
      </c>
      <c r="D27" s="106"/>
      <c r="E27" s="99"/>
      <c r="F27" s="99"/>
      <c r="G27" s="189">
        <f>SUM(G25:G26)</f>
        <v>156498629.31</v>
      </c>
      <c r="H27" s="167">
        <f>SUM(H25:H26)</f>
        <v>117039914.84999999</v>
      </c>
      <c r="I27" s="167">
        <f>SUM(I25:I26)</f>
        <v>39458714.460000001</v>
      </c>
      <c r="J27" s="186"/>
      <c r="K27" s="96"/>
      <c r="L27" s="85"/>
    </row>
    <row r="28" spans="1:12" ht="15.75" x14ac:dyDescent="0.25">
      <c r="A28" s="164"/>
      <c r="B28" s="185" t="s">
        <v>69</v>
      </c>
      <c r="C28" s="5"/>
      <c r="D28" s="105"/>
      <c r="E28" s="185"/>
      <c r="F28" s="185"/>
      <c r="G28" s="140"/>
      <c r="H28" s="171"/>
      <c r="I28" s="168"/>
      <c r="J28" s="186"/>
      <c r="K28" s="96"/>
      <c r="L28" s="85"/>
    </row>
    <row r="29" spans="1:12" ht="47.25" x14ac:dyDescent="0.25">
      <c r="A29" s="158">
        <v>8</v>
      </c>
      <c r="B29" s="163" t="s">
        <v>152</v>
      </c>
      <c r="C29" s="162">
        <f>12.5-8.3</f>
        <v>4.2</v>
      </c>
      <c r="D29" s="160" t="s">
        <v>52</v>
      </c>
      <c r="E29" s="158" t="s">
        <v>7</v>
      </c>
      <c r="F29" s="158" t="s">
        <v>59</v>
      </c>
      <c r="G29" s="141">
        <f>C29*24548804.5974973</f>
        <v>103104979.31</v>
      </c>
      <c r="H29" s="166">
        <f>G29*74.7865430954757%</f>
        <v>77108649.790000007</v>
      </c>
      <c r="I29" s="172">
        <f>G29-H29</f>
        <v>25996329.52</v>
      </c>
      <c r="J29" s="160" t="s">
        <v>89</v>
      </c>
      <c r="K29" s="96"/>
      <c r="L29" s="85"/>
    </row>
    <row r="30" spans="1:12" ht="15.75" x14ac:dyDescent="0.25">
      <c r="A30" s="3"/>
      <c r="B30" s="185" t="s">
        <v>9</v>
      </c>
      <c r="C30" s="5">
        <f>C29</f>
        <v>4.2</v>
      </c>
      <c r="D30" s="106"/>
      <c r="E30" s="99"/>
      <c r="F30" s="99"/>
      <c r="G30" s="189">
        <f>G29</f>
        <v>103104979.31</v>
      </c>
      <c r="H30" s="167">
        <f>H29</f>
        <v>77108649.790000007</v>
      </c>
      <c r="I30" s="167">
        <f>I29</f>
        <v>25996329.52</v>
      </c>
      <c r="J30" s="186"/>
      <c r="K30" s="96"/>
      <c r="L30" s="85"/>
    </row>
    <row r="31" spans="1:12" ht="15.75" x14ac:dyDescent="0.25">
      <c r="A31" s="164"/>
      <c r="B31" s="185" t="s">
        <v>17</v>
      </c>
      <c r="C31" s="5"/>
      <c r="D31" s="105"/>
      <c r="E31" s="185"/>
      <c r="F31" s="185"/>
      <c r="G31" s="140"/>
      <c r="H31" s="171"/>
      <c r="I31" s="168"/>
      <c r="J31" s="186"/>
      <c r="K31" s="96"/>
      <c r="L31" s="85"/>
    </row>
    <row r="32" spans="1:12" ht="47.25" x14ac:dyDescent="0.25">
      <c r="A32" s="158">
        <v>9</v>
      </c>
      <c r="B32" s="163" t="s">
        <v>153</v>
      </c>
      <c r="C32" s="162">
        <f>6.05-2.445+2.215</f>
        <v>5.82</v>
      </c>
      <c r="D32" s="160" t="s">
        <v>53</v>
      </c>
      <c r="E32" s="158" t="s">
        <v>7</v>
      </c>
      <c r="F32" s="158" t="s">
        <v>59</v>
      </c>
      <c r="G32" s="141">
        <f>C32*24548804.5974973</f>
        <v>142874042.75999999</v>
      </c>
      <c r="H32" s="166">
        <f>G32*74.7865430954757%</f>
        <v>106850557.56</v>
      </c>
      <c r="I32" s="172">
        <f>G32-H32</f>
        <v>36023485.200000003</v>
      </c>
      <c r="J32" s="160" t="s">
        <v>154</v>
      </c>
      <c r="K32" s="96"/>
      <c r="L32" s="85"/>
    </row>
    <row r="33" spans="1:12" ht="15.75" x14ac:dyDescent="0.25">
      <c r="A33" s="3"/>
      <c r="B33" s="185" t="s">
        <v>9</v>
      </c>
      <c r="C33" s="5">
        <f>C32</f>
        <v>5.82</v>
      </c>
      <c r="D33" s="106"/>
      <c r="E33" s="99"/>
      <c r="F33" s="99"/>
      <c r="G33" s="189">
        <f>G32</f>
        <v>142874042.75999999</v>
      </c>
      <c r="H33" s="167">
        <f>H32</f>
        <v>106850557.56</v>
      </c>
      <c r="I33" s="167">
        <f>I32</f>
        <v>36023485.200000003</v>
      </c>
      <c r="J33" s="186"/>
      <c r="K33" s="96"/>
      <c r="L33" s="85"/>
    </row>
    <row r="34" spans="1:12" ht="15.75" x14ac:dyDescent="0.25">
      <c r="A34" s="164"/>
      <c r="B34" s="185" t="s">
        <v>18</v>
      </c>
      <c r="C34" s="5"/>
      <c r="D34" s="105"/>
      <c r="E34" s="185"/>
      <c r="F34" s="185"/>
      <c r="G34" s="140"/>
      <c r="H34" s="171"/>
      <c r="I34" s="168"/>
      <c r="J34" s="186"/>
      <c r="K34" s="96"/>
      <c r="L34" s="85"/>
    </row>
    <row r="35" spans="1:12" ht="47.25" x14ac:dyDescent="0.25">
      <c r="A35" s="158">
        <v>10</v>
      </c>
      <c r="B35" s="163" t="s">
        <v>155</v>
      </c>
      <c r="C35" s="162">
        <f>23.94-19.71+17.62-16.5+14.5-10.5</f>
        <v>9.35</v>
      </c>
      <c r="D35" s="160" t="s">
        <v>53</v>
      </c>
      <c r="E35" s="158" t="s">
        <v>7</v>
      </c>
      <c r="F35" s="158" t="s">
        <v>59</v>
      </c>
      <c r="G35" s="141">
        <f>C35*24548804.5974973</f>
        <v>229531322.99000001</v>
      </c>
      <c r="H35" s="166">
        <f>G35*74.7865430954757%</f>
        <v>171658541.78999999</v>
      </c>
      <c r="I35" s="172">
        <f>G35-H35</f>
        <v>57872781.200000003</v>
      </c>
      <c r="J35" s="160" t="s">
        <v>156</v>
      </c>
      <c r="K35" s="96"/>
      <c r="L35" s="85"/>
    </row>
    <row r="36" spans="1:12" ht="15.75" x14ac:dyDescent="0.25">
      <c r="A36" s="3"/>
      <c r="B36" s="185" t="s">
        <v>9</v>
      </c>
      <c r="C36" s="5">
        <f>C35</f>
        <v>9.35</v>
      </c>
      <c r="D36" s="106"/>
      <c r="E36" s="99"/>
      <c r="F36" s="99"/>
      <c r="G36" s="189">
        <f>G35</f>
        <v>229531322.99000001</v>
      </c>
      <c r="H36" s="167">
        <f>H35</f>
        <v>171658541.78999999</v>
      </c>
      <c r="I36" s="167">
        <f>I35</f>
        <v>57872781.200000003</v>
      </c>
      <c r="J36" s="186"/>
      <c r="K36" s="96"/>
      <c r="L36" s="85"/>
    </row>
    <row r="37" spans="1:12" ht="15.75" x14ac:dyDescent="0.25">
      <c r="A37" s="3"/>
      <c r="B37" s="185" t="s">
        <v>19</v>
      </c>
      <c r="C37" s="5"/>
      <c r="D37" s="105"/>
      <c r="E37" s="185"/>
      <c r="F37" s="185"/>
      <c r="G37" s="140"/>
      <c r="H37" s="168"/>
      <c r="I37" s="168"/>
      <c r="J37" s="105"/>
      <c r="K37" s="96"/>
      <c r="L37" s="85"/>
    </row>
    <row r="38" spans="1:12" ht="47.25" x14ac:dyDescent="0.25">
      <c r="A38" s="158">
        <v>11</v>
      </c>
      <c r="B38" s="161" t="s">
        <v>157</v>
      </c>
      <c r="C38" s="162">
        <f>39.8-31.313+30.813-28</f>
        <v>11.3</v>
      </c>
      <c r="D38" s="160" t="s">
        <v>53</v>
      </c>
      <c r="E38" s="158" t="s">
        <v>7</v>
      </c>
      <c r="F38" s="158" t="s">
        <v>59</v>
      </c>
      <c r="G38" s="141">
        <f>C38*24548804.5974973</f>
        <v>277401491.94999999</v>
      </c>
      <c r="H38" s="166">
        <f>G38*74.7865430954757%</f>
        <v>207458986.31999999</v>
      </c>
      <c r="I38" s="172">
        <f>G38-H38</f>
        <v>69942505.629999995</v>
      </c>
      <c r="J38" s="160" t="s">
        <v>88</v>
      </c>
      <c r="K38" s="93"/>
      <c r="L38" s="85"/>
    </row>
    <row r="39" spans="1:12" ht="15.75" x14ac:dyDescent="0.25">
      <c r="A39" s="3"/>
      <c r="B39" s="185" t="s">
        <v>9</v>
      </c>
      <c r="C39" s="5">
        <f>C38</f>
        <v>11.3</v>
      </c>
      <c r="D39" s="106"/>
      <c r="E39" s="99"/>
      <c r="F39" s="99"/>
      <c r="G39" s="114">
        <f>G38</f>
        <v>277401491.94999999</v>
      </c>
      <c r="H39" s="114">
        <f>H38</f>
        <v>207458986.31999999</v>
      </c>
      <c r="I39" s="114">
        <f>I38</f>
        <v>69942505.629999995</v>
      </c>
      <c r="J39" s="106"/>
      <c r="K39" s="96"/>
      <c r="L39" s="85"/>
    </row>
    <row r="40" spans="1:12" ht="25.15" customHeight="1" x14ac:dyDescent="0.25">
      <c r="A40" s="77"/>
      <c r="B40" s="78" t="s">
        <v>58</v>
      </c>
      <c r="C40" s="107">
        <f>C11+C14+C17+C20+C23+C27+C30+C33+C36+C39</f>
        <v>91.340999999999994</v>
      </c>
      <c r="D40" s="107"/>
      <c r="E40" s="100"/>
      <c r="F40" s="100"/>
      <c r="G40" s="102">
        <f>G11+G14+G17+G20+G23+G27+G30+G33+G36+G39</f>
        <v>2242312360.7399998</v>
      </c>
      <c r="H40" s="102">
        <f>H11+H14+H17+H20+H23+H27+H30+H33+H36+H39</f>
        <v>1676947900</v>
      </c>
      <c r="I40" s="102">
        <f>I11+I14+I17+I20+I23+I27+I30+I33+I36+I39</f>
        <v>565364460.74000001</v>
      </c>
      <c r="J40" s="107"/>
      <c r="K40" s="95"/>
      <c r="L40" s="63"/>
    </row>
    <row r="41" spans="1:12" ht="15.75" x14ac:dyDescent="0.25">
      <c r="A41" s="7"/>
      <c r="B41" s="50" t="s">
        <v>60</v>
      </c>
      <c r="C41" s="108">
        <f>C10+C13+C16+C22+C25+C26+C32+C35+C38</f>
        <v>83.671000000000006</v>
      </c>
      <c r="D41" s="108"/>
      <c r="E41" s="101"/>
      <c r="F41" s="101"/>
      <c r="G41" s="102">
        <f>G10+G13+G16+G22+G25+G26+G32+G35+G38</f>
        <v>2054023029.48</v>
      </c>
      <c r="H41" s="102">
        <f>H10+H13+H16+H22+H25+H26+H32+H35+H38</f>
        <v>1536132818.1300001</v>
      </c>
      <c r="I41" s="102">
        <f>I10+I13+I16+I22+I25+I26+I32+I35+I38</f>
        <v>517890211.35000002</v>
      </c>
      <c r="J41" s="108"/>
      <c r="K41" s="29"/>
      <c r="L41" s="73"/>
    </row>
    <row r="42" spans="1:12" ht="15.75" x14ac:dyDescent="0.25">
      <c r="A42" s="7"/>
      <c r="B42" s="50" t="s">
        <v>56</v>
      </c>
      <c r="C42" s="108">
        <f>C19+C29</f>
        <v>7.67</v>
      </c>
      <c r="D42" s="108"/>
      <c r="E42" s="101"/>
      <c r="F42" s="101"/>
      <c r="G42" s="102">
        <f>G19+G29</f>
        <v>188289331.25999999</v>
      </c>
      <c r="H42" s="102">
        <f>H19+H29</f>
        <v>140815081.87</v>
      </c>
      <c r="I42" s="102">
        <f>I19+I29</f>
        <v>47474249.390000001</v>
      </c>
      <c r="J42" s="108"/>
      <c r="K42" s="29"/>
      <c r="L42" s="73"/>
    </row>
    <row r="43" spans="1:12" ht="21.6" hidden="1" customHeight="1" x14ac:dyDescent="0.25">
      <c r="A43" s="7"/>
      <c r="B43" s="185" t="s">
        <v>29</v>
      </c>
      <c r="C43" s="108"/>
      <c r="D43" s="108"/>
      <c r="E43" s="101"/>
      <c r="F43" s="101"/>
      <c r="G43" s="103"/>
      <c r="H43" s="150"/>
      <c r="I43" s="150"/>
      <c r="J43" s="108"/>
      <c r="K43" s="29"/>
      <c r="L43" s="73"/>
    </row>
    <row r="44" spans="1:12" ht="15.75" x14ac:dyDescent="0.25">
      <c r="A44" s="7"/>
      <c r="B44" s="194" t="s">
        <v>29</v>
      </c>
      <c r="C44" s="173">
        <f>C40+'[1]Приложение №4 дороги (проч)'!C44</f>
        <v>156.47999999999999</v>
      </c>
      <c r="D44" s="174"/>
      <c r="E44" s="175"/>
      <c r="F44" s="175"/>
      <c r="G44" s="176">
        <f>G40+'[1]Приложение №4 дороги (проч)'!G44</f>
        <v>3720300360.7399998</v>
      </c>
      <c r="H44" s="150"/>
      <c r="I44" s="150"/>
      <c r="J44" s="109"/>
      <c r="K44" s="86"/>
      <c r="L44" s="73"/>
    </row>
    <row r="45" spans="1:12" x14ac:dyDescent="0.25">
      <c r="H45" s="144"/>
      <c r="I45" s="144"/>
    </row>
    <row r="46" spans="1:12" x14ac:dyDescent="0.25">
      <c r="C46" s="110"/>
      <c r="G46" s="63"/>
    </row>
    <row r="47" spans="1:12" x14ac:dyDescent="0.25">
      <c r="C47" s="110"/>
      <c r="G47" s="63"/>
    </row>
    <row r="49" spans="7:7" x14ac:dyDescent="0.25">
      <c r="G49" s="177"/>
    </row>
    <row r="50" spans="7:7" x14ac:dyDescent="0.25">
      <c r="G50" s="177"/>
    </row>
  </sheetData>
  <mergeCells count="10">
    <mergeCell ref="J7:J8"/>
    <mergeCell ref="G1:I1"/>
    <mergeCell ref="A3:I3"/>
    <mergeCell ref="A4:I4"/>
    <mergeCell ref="A7:A8"/>
    <mergeCell ref="B7:B8"/>
    <mergeCell ref="C7:C8"/>
    <mergeCell ref="D7:D8"/>
    <mergeCell ref="E7:F7"/>
    <mergeCell ref="G7:I7"/>
  </mergeCells>
  <pageMargins left="0.70866141732283472" right="0" top="0.74803149606299213" bottom="0" header="0.31496062992125984" footer="0.31496062992125984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"/>
  <sheetViews>
    <sheetView view="pageBreakPreview" zoomScaleNormal="100" zoomScaleSheetLayoutView="100" workbookViewId="0">
      <selection activeCell="F1" sqref="F1:F1048576"/>
    </sheetView>
  </sheetViews>
  <sheetFormatPr defaultColWidth="9.140625" defaultRowHeight="15" x14ac:dyDescent="0.25"/>
  <cols>
    <col min="1" max="1" width="5.5703125" style="1" customWidth="1"/>
    <col min="2" max="2" width="69.5703125" style="1" customWidth="1"/>
    <col min="3" max="3" width="15.28515625" style="1" customWidth="1"/>
    <col min="4" max="4" width="14.28515625" style="1" customWidth="1"/>
    <col min="5" max="5" width="17.28515625" style="1" customWidth="1"/>
    <col min="6" max="6" width="18.85546875" style="10" hidden="1" customWidth="1"/>
    <col min="7" max="7" width="0.140625" style="1" customWidth="1"/>
    <col min="8" max="8" width="6.140625" style="1" customWidth="1"/>
    <col min="9" max="10" width="9.140625" style="1"/>
    <col min="11" max="11" width="10.140625" style="1" bestFit="1" customWidth="1"/>
    <col min="12" max="16384" width="9.140625" style="1"/>
  </cols>
  <sheetData>
    <row r="1" spans="1:7" ht="15.75" x14ac:dyDescent="0.25">
      <c r="A1" s="129"/>
      <c r="F1" s="165" t="s">
        <v>34</v>
      </c>
    </row>
    <row r="3" spans="1:7" ht="66.75" customHeight="1" x14ac:dyDescent="0.25">
      <c r="A3" s="195" t="s">
        <v>95</v>
      </c>
      <c r="B3" s="195"/>
      <c r="C3" s="195"/>
      <c r="D3" s="195"/>
      <c r="E3" s="195"/>
      <c r="F3" s="195"/>
    </row>
    <row r="4" spans="1:7" ht="15" customHeight="1" x14ac:dyDescent="0.25">
      <c r="A4" s="156"/>
      <c r="B4" s="156"/>
      <c r="C4" s="156"/>
      <c r="D4" s="156"/>
      <c r="E4" s="156"/>
      <c r="F4" s="156"/>
    </row>
    <row r="5" spans="1:7" x14ac:dyDescent="0.25">
      <c r="A5" s="198" t="s">
        <v>31</v>
      </c>
      <c r="B5" s="198"/>
      <c r="C5" s="198"/>
      <c r="D5" s="198"/>
      <c r="E5" s="198"/>
      <c r="F5" s="198"/>
    </row>
    <row r="7" spans="1:7" ht="16.5" customHeight="1" x14ac:dyDescent="0.25">
      <c r="A7" s="196" t="s">
        <v>0</v>
      </c>
      <c r="B7" s="196" t="s">
        <v>1</v>
      </c>
      <c r="C7" s="196" t="s">
        <v>27</v>
      </c>
      <c r="D7" s="196" t="s">
        <v>3</v>
      </c>
      <c r="E7" s="196"/>
      <c r="F7" s="197" t="s">
        <v>84</v>
      </c>
      <c r="G7" s="29"/>
    </row>
    <row r="8" spans="1:7" ht="15.75" x14ac:dyDescent="0.25">
      <c r="A8" s="196"/>
      <c r="B8" s="196"/>
      <c r="C8" s="196"/>
      <c r="D8" s="157" t="s">
        <v>4</v>
      </c>
      <c r="E8" s="157" t="s">
        <v>5</v>
      </c>
      <c r="F8" s="197"/>
      <c r="G8" s="29"/>
    </row>
    <row r="9" spans="1:7" ht="15.75" x14ac:dyDescent="0.25">
      <c r="A9" s="2"/>
      <c r="B9" s="90" t="s">
        <v>14</v>
      </c>
      <c r="C9" s="91"/>
      <c r="D9" s="2"/>
      <c r="E9" s="2"/>
      <c r="F9" s="2"/>
      <c r="G9" s="59"/>
    </row>
    <row r="10" spans="1:7" s="9" customFormat="1" ht="31.5" x14ac:dyDescent="0.25">
      <c r="A10" s="3">
        <v>1</v>
      </c>
      <c r="B10" s="51" t="s">
        <v>160</v>
      </c>
      <c r="C10" s="125">
        <v>38.67</v>
      </c>
      <c r="D10" s="3" t="s">
        <v>132</v>
      </c>
      <c r="E10" s="111" t="s">
        <v>15</v>
      </c>
      <c r="F10" s="178">
        <v>72273000</v>
      </c>
      <c r="G10" s="59">
        <v>22679480</v>
      </c>
    </row>
    <row r="11" spans="1:7" s="9" customFormat="1" ht="31.5" x14ac:dyDescent="0.25">
      <c r="A11" s="3">
        <v>2</v>
      </c>
      <c r="B11" s="51" t="s">
        <v>159</v>
      </c>
      <c r="C11" s="193" t="s">
        <v>165</v>
      </c>
      <c r="D11" s="3" t="s">
        <v>132</v>
      </c>
      <c r="E11" s="125" t="s">
        <v>164</v>
      </c>
      <c r="F11" s="178">
        <v>66263000</v>
      </c>
      <c r="G11" s="59"/>
    </row>
    <row r="12" spans="1:7" ht="15.75" x14ac:dyDescent="0.25">
      <c r="A12" s="2"/>
      <c r="B12" s="90" t="s">
        <v>9</v>
      </c>
      <c r="C12" s="126">
        <f>C10</f>
        <v>38.67</v>
      </c>
      <c r="D12" s="90"/>
      <c r="E12" s="90"/>
      <c r="F12" s="168">
        <f>F10+F11</f>
        <v>138536000</v>
      </c>
      <c r="G12" s="59"/>
    </row>
    <row r="13" spans="1:7" s="9" customFormat="1" ht="29.45" customHeight="1" x14ac:dyDescent="0.25">
      <c r="A13" s="7"/>
      <c r="B13" s="8" t="s">
        <v>37</v>
      </c>
      <c r="C13" s="127">
        <f>C12</f>
        <v>38.67</v>
      </c>
      <c r="D13" s="8"/>
      <c r="E13" s="8"/>
      <c r="F13" s="114">
        <f>F12</f>
        <v>138536000</v>
      </c>
      <c r="G13" s="59"/>
    </row>
  </sheetData>
  <mergeCells count="7">
    <mergeCell ref="A3:F3"/>
    <mergeCell ref="A5:F5"/>
    <mergeCell ref="A7:A8"/>
    <mergeCell ref="B7:B8"/>
    <mergeCell ref="C7:C8"/>
    <mergeCell ref="D7:E7"/>
    <mergeCell ref="F7:F8"/>
  </mergeCells>
  <pageMargins left="0.70866141732283472" right="0.70866141732283472" top="0.74803149606299213" bottom="0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view="pageBreakPreview" zoomScale="130" zoomScaleNormal="130" zoomScaleSheetLayoutView="130" workbookViewId="0">
      <selection activeCell="B2" sqref="B1:B1048576"/>
    </sheetView>
  </sheetViews>
  <sheetFormatPr defaultRowHeight="15" x14ac:dyDescent="0.25"/>
  <cols>
    <col min="1" max="1" width="38" customWidth="1"/>
    <col min="2" max="2" width="33.85546875" style="55" hidden="1" customWidth="1"/>
    <col min="3" max="3" width="14.5703125" customWidth="1"/>
    <col min="4" max="4" width="35.42578125" style="56" customWidth="1"/>
    <col min="5" max="5" width="29.7109375" style="56" customWidth="1"/>
    <col min="6" max="7" width="24.28515625" style="56" customWidth="1"/>
  </cols>
  <sheetData>
    <row r="1" spans="1:7" ht="15.75" x14ac:dyDescent="0.25">
      <c r="A1" s="212" t="s">
        <v>79</v>
      </c>
      <c r="B1" s="212"/>
    </row>
    <row r="3" spans="1:7" ht="15.75" customHeight="1" x14ac:dyDescent="0.25">
      <c r="A3" s="195" t="s">
        <v>96</v>
      </c>
      <c r="B3" s="195"/>
    </row>
    <row r="4" spans="1:7" ht="43.5" customHeight="1" thickBot="1" x14ac:dyDescent="0.3">
      <c r="A4" s="213"/>
      <c r="B4" s="213"/>
    </row>
    <row r="5" spans="1:7" ht="32.25" thickBot="1" x14ac:dyDescent="0.3">
      <c r="A5" s="52" t="s">
        <v>65</v>
      </c>
      <c r="B5" s="53" t="s">
        <v>87</v>
      </c>
      <c r="F5"/>
      <c r="G5"/>
    </row>
    <row r="6" spans="1:7" ht="16.5" thickBot="1" x14ac:dyDescent="0.3">
      <c r="A6" s="64" t="s">
        <v>75</v>
      </c>
      <c r="B6" s="75">
        <v>78515714.739999995</v>
      </c>
      <c r="F6"/>
      <c r="G6"/>
    </row>
    <row r="7" spans="1:7" ht="16.5" thickBot="1" x14ac:dyDescent="0.3">
      <c r="A7" s="64" t="s">
        <v>6</v>
      </c>
      <c r="B7" s="75">
        <f>65308167.48-11086956</f>
        <v>54221211.479999997</v>
      </c>
      <c r="F7"/>
      <c r="G7"/>
    </row>
    <row r="8" spans="1:7" ht="16.5" thickBot="1" x14ac:dyDescent="0.3">
      <c r="A8" s="64" t="s">
        <v>20</v>
      </c>
      <c r="B8" s="75">
        <f>59996644.59-11086956</f>
        <v>48909688.590000004</v>
      </c>
      <c r="F8"/>
      <c r="G8"/>
    </row>
    <row r="9" spans="1:7" ht="16.5" thickBot="1" x14ac:dyDescent="0.3">
      <c r="A9" s="64" t="s">
        <v>10</v>
      </c>
      <c r="B9" s="75">
        <v>50216313.359999999</v>
      </c>
      <c r="F9"/>
      <c r="G9"/>
    </row>
    <row r="10" spans="1:7" ht="16.5" thickBot="1" x14ac:dyDescent="0.3">
      <c r="A10" s="64" t="s">
        <v>11</v>
      </c>
      <c r="B10" s="75">
        <v>43659119.869999997</v>
      </c>
      <c r="F10"/>
      <c r="G10"/>
    </row>
    <row r="11" spans="1:7" ht="16.5" thickBot="1" x14ac:dyDescent="0.3">
      <c r="A11" s="64" t="s">
        <v>12</v>
      </c>
      <c r="B11" s="75">
        <f>50992109.66-11086956</f>
        <v>39905153.659999996</v>
      </c>
      <c r="F11"/>
      <c r="G11"/>
    </row>
    <row r="12" spans="1:7" ht="16.5" thickBot="1" x14ac:dyDescent="0.3">
      <c r="A12" s="64" t="s">
        <v>13</v>
      </c>
      <c r="B12" s="75">
        <f>61170535.46-11086956</f>
        <v>50083579.460000001</v>
      </c>
      <c r="F12"/>
      <c r="G12"/>
    </row>
    <row r="13" spans="1:7" ht="16.5" thickBot="1" x14ac:dyDescent="0.3">
      <c r="A13" s="64" t="s">
        <v>76</v>
      </c>
      <c r="B13" s="75">
        <v>79757477.739999995</v>
      </c>
      <c r="F13"/>
      <c r="G13"/>
    </row>
    <row r="14" spans="1:7" ht="16.5" thickBot="1" x14ac:dyDescent="0.3">
      <c r="A14" s="64" t="s">
        <v>66</v>
      </c>
      <c r="B14" s="75">
        <v>56785808.289999999</v>
      </c>
      <c r="F14"/>
      <c r="G14"/>
    </row>
    <row r="15" spans="1:7" ht="16.5" thickBot="1" x14ac:dyDescent="0.3">
      <c r="A15" s="64" t="s">
        <v>14</v>
      </c>
      <c r="B15" s="75">
        <v>41152943.149999999</v>
      </c>
      <c r="F15"/>
      <c r="G15"/>
    </row>
    <row r="16" spans="1:7" ht="16.5" thickBot="1" x14ac:dyDescent="0.3">
      <c r="A16" s="64" t="s">
        <v>67</v>
      </c>
      <c r="B16" s="75">
        <f>88819703.74-11086956</f>
        <v>77732747.739999995</v>
      </c>
      <c r="F16"/>
      <c r="G16"/>
    </row>
    <row r="17" spans="1:7" ht="16.5" thickBot="1" x14ac:dyDescent="0.3">
      <c r="A17" s="64" t="s">
        <v>26</v>
      </c>
      <c r="B17" s="75">
        <v>76636722.530000001</v>
      </c>
      <c r="F17"/>
      <c r="G17"/>
    </row>
    <row r="18" spans="1:7" ht="16.5" thickBot="1" x14ac:dyDescent="0.3">
      <c r="A18" s="65" t="s">
        <v>68</v>
      </c>
      <c r="B18" s="75">
        <f>63875895.16-11086956</f>
        <v>52788939.159999996</v>
      </c>
      <c r="F18"/>
      <c r="G18"/>
    </row>
    <row r="19" spans="1:7" ht="16.5" thickBot="1" x14ac:dyDescent="0.3">
      <c r="A19" s="66" t="s">
        <v>81</v>
      </c>
      <c r="B19" s="75">
        <v>98294207.900000006</v>
      </c>
      <c r="F19"/>
      <c r="G19"/>
    </row>
    <row r="20" spans="1:7" ht="19.5" customHeight="1" thickBot="1" x14ac:dyDescent="0.3">
      <c r="A20" s="64" t="s">
        <v>77</v>
      </c>
      <c r="B20" s="75">
        <f>76153131.18-11086956</f>
        <v>65066175.18</v>
      </c>
      <c r="F20"/>
      <c r="G20"/>
    </row>
    <row r="21" spans="1:7" ht="16.5" thickBot="1" x14ac:dyDescent="0.3">
      <c r="A21" s="64" t="s">
        <v>21</v>
      </c>
      <c r="B21" s="75">
        <f>74890237.9-11086956</f>
        <v>63803281.899999999</v>
      </c>
      <c r="F21"/>
      <c r="G21"/>
    </row>
    <row r="22" spans="1:7" ht="16.5" thickBot="1" x14ac:dyDescent="0.3">
      <c r="A22" s="64" t="s">
        <v>22</v>
      </c>
      <c r="B22" s="75">
        <v>44485872.009999998</v>
      </c>
      <c r="F22"/>
      <c r="G22"/>
    </row>
    <row r="23" spans="1:7" ht="16.5" thickBot="1" x14ac:dyDescent="0.3">
      <c r="A23" s="64" t="s">
        <v>16</v>
      </c>
      <c r="B23" s="75">
        <f>63321100.38-11086956</f>
        <v>52234144.380000003</v>
      </c>
      <c r="F23"/>
      <c r="G23"/>
    </row>
    <row r="24" spans="1:7" ht="18" customHeight="1" thickBot="1" x14ac:dyDescent="0.3">
      <c r="A24" s="64" t="s">
        <v>69</v>
      </c>
      <c r="B24" s="75">
        <v>60969535.850000001</v>
      </c>
      <c r="F24"/>
      <c r="G24"/>
    </row>
    <row r="25" spans="1:7" ht="16.5" thickBot="1" x14ac:dyDescent="0.3">
      <c r="A25" s="64" t="s">
        <v>17</v>
      </c>
      <c r="B25" s="75">
        <v>98815495.849999994</v>
      </c>
      <c r="F25"/>
      <c r="G25"/>
    </row>
    <row r="26" spans="1:7" ht="16.5" thickBot="1" x14ac:dyDescent="0.3">
      <c r="A26" s="64" t="s">
        <v>18</v>
      </c>
      <c r="B26" s="75">
        <f>72420911.03-11086956</f>
        <v>61333955.030000001</v>
      </c>
      <c r="F26"/>
      <c r="G26"/>
    </row>
    <row r="27" spans="1:7" ht="16.5" thickBot="1" x14ac:dyDescent="0.3">
      <c r="A27" s="64" t="s">
        <v>23</v>
      </c>
      <c r="B27" s="75">
        <f>105685465.07-11086956</f>
        <v>94598509.069999993</v>
      </c>
      <c r="F27"/>
      <c r="G27"/>
    </row>
    <row r="28" spans="1:7" ht="17.25" customHeight="1" thickBot="1" x14ac:dyDescent="0.35">
      <c r="A28" s="64" t="s">
        <v>19</v>
      </c>
      <c r="B28" s="75">
        <v>55371582.810000002</v>
      </c>
      <c r="D28" s="57"/>
      <c r="E28" s="57"/>
      <c r="F28"/>
      <c r="G28"/>
    </row>
    <row r="29" spans="1:7" ht="19.5" thickBot="1" x14ac:dyDescent="0.35">
      <c r="A29" s="54" t="s">
        <v>33</v>
      </c>
      <c r="B29" s="74">
        <f>SUM(B6:B28)</f>
        <v>1445338179.75</v>
      </c>
      <c r="D29" s="57"/>
      <c r="E29" s="57"/>
      <c r="F29"/>
      <c r="G29"/>
    </row>
    <row r="30" spans="1:7" ht="18.75" x14ac:dyDescent="0.3">
      <c r="D30" s="57"/>
      <c r="E30" s="57"/>
      <c r="F30" s="57"/>
      <c r="G30" s="57"/>
    </row>
    <row r="31" spans="1:7" x14ac:dyDescent="0.25">
      <c r="B31" s="155"/>
    </row>
    <row r="33" spans="1:1" ht="15.75" x14ac:dyDescent="0.25">
      <c r="A33" s="92"/>
    </row>
  </sheetData>
  <mergeCells count="2">
    <mergeCell ref="A1:B1"/>
    <mergeCell ref="A3:B4"/>
  </mergeCells>
  <pageMargins left="0.70866141732283472" right="0.70866141732283472" top="0.74803149606299213" bottom="0.74803149606299213" header="0.31496062992125984" footer="0.31496062992125984"/>
  <pageSetup paperSize="9" scale="12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5:F27"/>
  <sheetViews>
    <sheetView topLeftCell="A16" workbookViewId="0">
      <selection activeCell="E27" sqref="E27"/>
    </sheetView>
  </sheetViews>
  <sheetFormatPr defaultRowHeight="15" x14ac:dyDescent="0.25"/>
  <cols>
    <col min="1" max="1" width="63.85546875" customWidth="1"/>
    <col min="2" max="2" width="18.85546875" customWidth="1"/>
    <col min="3" max="3" width="20.5703125" customWidth="1"/>
  </cols>
  <sheetData>
    <row r="5" spans="1:6" ht="15.75" x14ac:dyDescent="0.25">
      <c r="A5" s="15" t="s">
        <v>42</v>
      </c>
      <c r="B5" s="15" t="s">
        <v>2</v>
      </c>
      <c r="C5" s="15" t="s">
        <v>43</v>
      </c>
    </row>
    <row r="6" spans="1:6" x14ac:dyDescent="0.25">
      <c r="A6" s="16"/>
      <c r="B6" s="16"/>
      <c r="C6" s="16"/>
    </row>
    <row r="7" spans="1:6" ht="45" x14ac:dyDescent="0.25">
      <c r="A7" s="17" t="s">
        <v>44</v>
      </c>
      <c r="B7" s="23">
        <f>B9+B11</f>
        <v>50.848999999999997</v>
      </c>
      <c r="C7" s="24">
        <f>C9+C11</f>
        <v>134055.6</v>
      </c>
      <c r="D7" s="13"/>
      <c r="E7" s="13"/>
      <c r="F7" s="13"/>
    </row>
    <row r="8" spans="1:6" ht="15.75" x14ac:dyDescent="0.25">
      <c r="A8" s="16"/>
      <c r="B8" s="22"/>
      <c r="C8" s="25"/>
    </row>
    <row r="9" spans="1:6" ht="45" x14ac:dyDescent="0.25">
      <c r="A9" s="18" t="s">
        <v>41</v>
      </c>
      <c r="B9" s="21">
        <v>50.848999999999997</v>
      </c>
      <c r="C9" s="26">
        <v>119055.6</v>
      </c>
      <c r="D9" s="13"/>
      <c r="E9" s="13"/>
      <c r="F9" s="13"/>
    </row>
    <row r="10" spans="1:6" ht="15.75" x14ac:dyDescent="0.25">
      <c r="A10" s="19"/>
      <c r="B10" s="22"/>
      <c r="C10" s="25"/>
    </row>
    <row r="11" spans="1:6" ht="60" x14ac:dyDescent="0.25">
      <c r="A11" s="18" t="s">
        <v>35</v>
      </c>
      <c r="B11" s="22"/>
      <c r="C11" s="25">
        <v>15000</v>
      </c>
    </row>
    <row r="12" spans="1:6" ht="15.75" x14ac:dyDescent="0.25">
      <c r="A12" s="16"/>
      <c r="B12" s="22"/>
      <c r="C12" s="25"/>
    </row>
    <row r="13" spans="1:6" ht="105" x14ac:dyDescent="0.25">
      <c r="A13" s="17" t="s">
        <v>36</v>
      </c>
      <c r="B13" s="23">
        <v>126.37</v>
      </c>
      <c r="C13" s="24">
        <v>1342696.9</v>
      </c>
      <c r="D13" s="14"/>
      <c r="E13" s="14"/>
      <c r="F13" s="14"/>
    </row>
    <row r="14" spans="1:6" ht="15.75" x14ac:dyDescent="0.25">
      <c r="A14" s="16"/>
      <c r="B14" s="22"/>
      <c r="C14" s="25"/>
    </row>
    <row r="15" spans="1:6" ht="60" x14ac:dyDescent="0.25">
      <c r="A15" s="17" t="s">
        <v>40</v>
      </c>
      <c r="B15" s="23">
        <v>91.537000000000006</v>
      </c>
      <c r="C15" s="24">
        <v>975657.6</v>
      </c>
      <c r="D15" s="14"/>
      <c r="E15" s="14"/>
      <c r="F15" s="14"/>
    </row>
    <row r="16" spans="1:6" ht="15.75" x14ac:dyDescent="0.25">
      <c r="A16" s="16"/>
      <c r="B16" s="22"/>
      <c r="C16" s="25"/>
    </row>
    <row r="17" spans="1:6" ht="105" x14ac:dyDescent="0.25">
      <c r="A17" s="17" t="s">
        <v>38</v>
      </c>
      <c r="B17" s="23" t="s">
        <v>39</v>
      </c>
      <c r="C17" s="24">
        <v>101751.4</v>
      </c>
      <c r="D17" s="14"/>
      <c r="E17" s="14"/>
      <c r="F17" s="14"/>
    </row>
    <row r="18" spans="1:6" ht="15.75" x14ac:dyDescent="0.25">
      <c r="A18" s="16"/>
      <c r="B18" s="22"/>
      <c r="C18" s="25"/>
    </row>
    <row r="19" spans="1:6" ht="45" x14ac:dyDescent="0.25">
      <c r="A19" s="17" t="s">
        <v>32</v>
      </c>
      <c r="B19" s="23">
        <v>4321.8339999999998</v>
      </c>
      <c r="C19" s="27">
        <v>938954.7</v>
      </c>
    </row>
    <row r="20" spans="1:6" ht="15.75" x14ac:dyDescent="0.25">
      <c r="A20" s="17" t="s">
        <v>47</v>
      </c>
      <c r="B20" s="23"/>
      <c r="C20" s="27">
        <v>230500</v>
      </c>
    </row>
    <row r="21" spans="1:6" x14ac:dyDescent="0.25">
      <c r="A21" s="16" t="s">
        <v>33</v>
      </c>
      <c r="B21" s="16"/>
      <c r="C21" s="27">
        <f>C7+C13+C15+C17+C19+C20</f>
        <v>3723616.2</v>
      </c>
    </row>
    <row r="22" spans="1:6" x14ac:dyDescent="0.25">
      <c r="A22" s="17" t="s">
        <v>45</v>
      </c>
      <c r="B22" s="20">
        <f>B13+B15</f>
        <v>217.90700000000001</v>
      </c>
      <c r="C22" s="25">
        <f>C13+C15+C17</f>
        <v>2420105.9</v>
      </c>
    </row>
    <row r="23" spans="1:6" x14ac:dyDescent="0.25">
      <c r="A23" s="17" t="s">
        <v>46</v>
      </c>
      <c r="B23" s="20">
        <f>B9</f>
        <v>50.848999999999997</v>
      </c>
      <c r="C23" s="25">
        <f>C7</f>
        <v>134055.6</v>
      </c>
    </row>
    <row r="24" spans="1:6" x14ac:dyDescent="0.25">
      <c r="A24" s="17" t="s">
        <v>48</v>
      </c>
      <c r="B24" s="20">
        <f>B19</f>
        <v>4321.8339999999998</v>
      </c>
      <c r="C24" s="25">
        <f>C19</f>
        <v>938954.7</v>
      </c>
    </row>
    <row r="25" spans="1:6" x14ac:dyDescent="0.25">
      <c r="A25" s="17" t="s">
        <v>49</v>
      </c>
      <c r="B25" s="16"/>
      <c r="C25" s="25">
        <v>230500</v>
      </c>
    </row>
    <row r="26" spans="1:6" x14ac:dyDescent="0.25">
      <c r="B26">
        <v>278.40699999999998</v>
      </c>
      <c r="C26" s="25">
        <v>2976415.4</v>
      </c>
    </row>
    <row r="27" spans="1:6" x14ac:dyDescent="0.25">
      <c r="B27">
        <f>B26-B22</f>
        <v>60.5</v>
      </c>
      <c r="C27" s="28">
        <f>C26-2318354.5</f>
        <v>658060.9</v>
      </c>
      <c r="D27" s="25">
        <f>C27/B27</f>
        <v>10877.04</v>
      </c>
    </row>
  </sheetData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Приложение №2 кап.рем</vt:lpstr>
      <vt:lpstr>Приложение №3 Освещение</vt:lpstr>
      <vt:lpstr>Приложение №4 дороги (проч)</vt:lpstr>
      <vt:lpstr>Приложение №5 дороги (рег п)</vt:lpstr>
      <vt:lpstr>Приложение №6 мосты</vt:lpstr>
      <vt:lpstr>Приложение №7 содержание</vt:lpstr>
      <vt:lpstr>Свод</vt:lpstr>
      <vt:lpstr>'Приложение №5 дороги (рег п)'!_Hlk499220623</vt:lpstr>
      <vt:lpstr>'Приложение №4 дороги (проч)'!OLE_LINK20</vt:lpstr>
      <vt:lpstr>'Приложение №5 дороги (рег п)'!OLE_LINK54</vt:lpstr>
      <vt:lpstr>'Приложение №3 Освещение'!Область_печати</vt:lpstr>
      <vt:lpstr>'Приложение №4 дороги (проч)'!Область_печати</vt:lpstr>
      <vt:lpstr>'Приложение №5 дороги (рег п)'!Область_печати</vt:lpstr>
      <vt:lpstr>'Приложение №6 мосты'!Область_печати</vt:lpstr>
      <vt:lpstr>'Приложение №7 содержание'!Область_печати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Gerdev.Nikolay</dc:creator>
  <cp:lastModifiedBy>Илья Смирнов</cp:lastModifiedBy>
  <cp:lastPrinted>2024-01-11T12:16:58Z</cp:lastPrinted>
  <dcterms:created xsi:type="dcterms:W3CDTF">2019-03-29T13:12:52Z</dcterms:created>
  <dcterms:modified xsi:type="dcterms:W3CDTF">2024-02-06T12:12:53Z</dcterms:modified>
</cp:coreProperties>
</file>